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Z:\Отделы и управления\Отдел подготовки производства\Водкина А.В\Школа 21\ВОР\"/>
    </mc:Choice>
  </mc:AlternateContent>
  <xr:revisionPtr revIDLastSave="0" documentId="13_ncr:1_{3109D677-314A-4C65-87F0-3C0B924680CC}" xr6:coauthVersionLast="47" xr6:coauthVersionMax="47" xr10:uidLastSave="{00000000-0000-0000-0000-000000000000}"/>
  <bookViews>
    <workbookView xWindow="-96" yWindow="-96" windowWidth="23232" windowHeight="12432" firstSheet="1" activeTab="1" xr2:uid="{78BC91DF-DD43-4870-97F6-C851E9B916F7}"/>
  </bookViews>
  <sheets>
    <sheet name="ВОР Ме каркас, ограждения" sheetId="1" state="hidden" r:id="rId1"/>
    <sheet name="ВОР Кровля козырьков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4" l="1"/>
  <c r="D39" i="4"/>
  <c r="D38" i="4"/>
  <c r="D37" i="4"/>
  <c r="D36" i="4"/>
  <c r="D35" i="4"/>
  <c r="D34" i="4"/>
  <c r="D33" i="4"/>
  <c r="D32" i="4"/>
  <c r="D31" i="4"/>
  <c r="D30" i="4"/>
  <c r="D29" i="4"/>
  <c r="D28" i="4" l="1"/>
  <c r="F28" i="4"/>
  <c r="D15" i="4" l="1"/>
  <c r="D13" i="4"/>
  <c r="D11" i="4"/>
  <c r="D12" i="4" s="1"/>
  <c r="D10" i="4"/>
  <c r="D8" i="4"/>
  <c r="D9" i="4" s="1"/>
  <c r="D7" i="4"/>
  <c r="D6" i="4"/>
  <c r="D5" i="4"/>
  <c r="D27" i="4" l="1"/>
  <c r="D26" i="4"/>
  <c r="D25" i="4"/>
  <c r="D24" i="4"/>
  <c r="D23" i="4"/>
  <c r="D22" i="4"/>
  <c r="D21" i="4"/>
  <c r="D20" i="4"/>
  <c r="D19" i="4"/>
  <c r="D18" i="4"/>
  <c r="D17" i="4"/>
  <c r="D16" i="4"/>
  <c r="D56" i="1"/>
  <c r="D55" i="1" s="1"/>
  <c r="D53" i="1"/>
  <c r="D49" i="1"/>
  <c r="D52" i="1" s="1"/>
  <c r="D51" i="1" s="1"/>
  <c r="H57" i="1"/>
  <c r="D73" i="1"/>
  <c r="D74" i="1" s="1"/>
  <c r="D71" i="1"/>
  <c r="D72" i="1" s="1"/>
  <c r="D57" i="1"/>
  <c r="D68" i="1"/>
  <c r="D63" i="1"/>
  <c r="D67" i="1" s="1"/>
  <c r="D65" i="1"/>
  <c r="D64" i="1" s="1"/>
  <c r="D38" i="1"/>
  <c r="D27" i="1"/>
  <c r="D16" i="1"/>
  <c r="D5" i="1"/>
  <c r="D12" i="1" s="1"/>
  <c r="D7" i="1"/>
  <c r="D6" i="1" l="1"/>
  <c r="D8" i="1"/>
  <c r="D9" i="1"/>
  <c r="D11" i="1" s="1"/>
  <c r="D13" i="1"/>
  <c r="D14" i="1"/>
  <c r="D10" i="1" l="1"/>
  <c r="D25" i="1"/>
  <c r="D24" i="1"/>
  <c r="D23" i="1"/>
  <c r="D20" i="1"/>
  <c r="D22" i="1" s="1"/>
  <c r="D19" i="1"/>
  <c r="D18" i="1"/>
  <c r="D17" i="1"/>
  <c r="D21" i="1" l="1"/>
  <c r="E1" i="4"/>
  <c r="D54" i="1"/>
  <c r="F16" i="1"/>
  <c r="D69" i="1"/>
  <c r="D62" i="1"/>
  <c r="D61" i="1"/>
  <c r="D60" i="1"/>
  <c r="D50" i="1"/>
  <c r="D47" i="1"/>
  <c r="D46" i="1"/>
  <c r="D45" i="1"/>
  <c r="D42" i="1"/>
  <c r="D44" i="1" s="1"/>
  <c r="D41" i="1"/>
  <c r="D40" i="1"/>
  <c r="D39" i="1"/>
  <c r="D36" i="1"/>
  <c r="D28" i="1" l="1"/>
  <c r="D30" i="1"/>
  <c r="D31" i="1"/>
  <c r="D33" i="1" s="1"/>
  <c r="D34" i="1"/>
  <c r="D35" i="1"/>
  <c r="D29" i="1"/>
  <c r="D43" i="1"/>
  <c r="E1" i="1"/>
  <c r="D32" i="1" l="1"/>
</calcChain>
</file>

<file path=xl/sharedStrings.xml><?xml version="1.0" encoding="utf-8"?>
<sst xmlns="http://schemas.openxmlformats.org/spreadsheetml/2006/main" count="260" uniqueCount="93">
  <si>
    <t>Ведомость объемов работ №9</t>
  </si>
  <si>
    <t>Объект:</t>
  </si>
  <si>
    <t>Школа 21</t>
  </si>
  <si>
    <t>№ п/п</t>
  </si>
  <si>
    <t>Наименование работы</t>
  </si>
  <si>
    <t>Ед. измерения</t>
  </si>
  <si>
    <t>Объем</t>
  </si>
  <si>
    <t>Примечение</t>
  </si>
  <si>
    <t>м2</t>
  </si>
  <si>
    <t>м3</t>
  </si>
  <si>
    <t>кг</t>
  </si>
  <si>
    <t>0,35л/м2</t>
  </si>
  <si>
    <t>шт</t>
  </si>
  <si>
    <t>Устройство примыканий кровель из наплавляемых материалов к стенам и парапетам высотой: более 600 мм с одним фартуком с огрунтовкой основания</t>
  </si>
  <si>
    <t>м</t>
  </si>
  <si>
    <t>Техноэласт ЭКП</t>
  </si>
  <si>
    <t>Техноэласт ЭПП</t>
  </si>
  <si>
    <t>Праймер битумный Технониколь №01</t>
  </si>
  <si>
    <t>Уголок из оцинкованной стали толщиной 0,7мм 50мм х50мм</t>
  </si>
  <si>
    <t>Дюбель анкер 6х40</t>
  </si>
  <si>
    <t>ТЕХНОРУФ ПРОФ ГАЛТЕЛЬ</t>
  </si>
  <si>
    <t>Отлив из оцинкованной стали 0,7мм</t>
  </si>
  <si>
    <t>Саморез сверлоконечный 4,2х25</t>
  </si>
  <si>
    <t>Мастика герметизирующая ТЕХНОНИКОЛЬ №71, картридж 310 мл</t>
  </si>
  <si>
    <t>т</t>
  </si>
  <si>
    <t>Металлоконструкции - труба 140х140х4 марка стали С355</t>
  </si>
  <si>
    <t>Анкер для высоких нагрузок MKT SZ-B 12/30 М8 L=110</t>
  </si>
  <si>
    <t>Сверление отверстий вертикальных диаметром 12мм глубиной 80мм</t>
  </si>
  <si>
    <t>Огрунтовка металлоконструкций грунтовкой ГФ-021 за 1 раз</t>
  </si>
  <si>
    <t>Окраска эмалью ПФ-115 огрунтованных металлических поверхностей за 2 раза</t>
  </si>
  <si>
    <t>Лист горячекатанный 10мм марка стали С355</t>
  </si>
  <si>
    <t>Устройство примыкания кровли к вентшахтам (ТН Универсал) 5 этаж 6971-АР-5,6</t>
  </si>
  <si>
    <t>Устройство примыкания кровли к вентшахтам и выходу на кровлю (люк) (ТН Универсал) 8 этаж 6971-АР-6,7</t>
  </si>
  <si>
    <t>Устройство примыкания кровли к вентшахтам  и выходу на кровлю (люк) (ТН Универсал) 9 этаж 6971-АР-6,7</t>
  </si>
  <si>
    <t>изменен шаг стоек, появился эскиз</t>
  </si>
  <si>
    <t>изменена ссылка на чертеж</t>
  </si>
  <si>
    <t>https://document-link.sarex.io/872927ed-c92f-408b-a82c-c1fb47a63ea4</t>
  </si>
  <si>
    <t>добавлено</t>
  </si>
  <si>
    <t>Ограждение ОГ-18 высотой 600мм индивидуальное</t>
  </si>
  <si>
    <t>Устройство примыкания кровли к вентшахтам 5-9 этаж 6971-АР-5,6,7,37 Узел 6</t>
  </si>
  <si>
    <t>ТЕХНОРУФ ПРОФ ГАЛТЕЛЬ 1200мм</t>
  </si>
  <si>
    <t>Устройство кровельного ограждения высотой 600мм (ОГ-18) АР лист 29</t>
  </si>
  <si>
    <t>Устройство кровельного ограждения высотой 1620мм (ОГ-19) АР лист 29</t>
  </si>
  <si>
    <t>Устройство металлокаркаса парапетов и зенитных фонарей и вентшахт 6971-КР1.С-9,10</t>
  </si>
  <si>
    <t>Уголок горячекатанный 125х8 С255</t>
  </si>
  <si>
    <t>Монтаж металлокаркаса (фахверки) С355</t>
  </si>
  <si>
    <t>Монтаж металлокаркаса (рамы вентшахт) С255</t>
  </si>
  <si>
    <t>Ограждение ОГ-19 высотой 1620мм индивидуальное, с двумя калитками шириной 1000мм</t>
  </si>
  <si>
    <t>Устройство кровельного ограждения 4-5 этаж 6971-АР-7, 29</t>
  </si>
  <si>
    <t>изменен объем</t>
  </si>
  <si>
    <t xml:space="preserve">Устройство ограждений ОГ-20 лестниц с кровли 4-го на кровлю 5-го этажа высотой 900 мм </t>
  </si>
  <si>
    <t>Устройство кровельного ограждения лестницы ЛК2 6971-АР-29</t>
  </si>
  <si>
    <t>Устройство лестничного ограждения высотой 1200мм (ОГС-1,ОГС-2) АР лист 29</t>
  </si>
  <si>
    <t>Устройство ограждения лестничных площадок высотой 1200мм</t>
  </si>
  <si>
    <t>Ограждение ОГС-1, ОГС-2 высотой 1200мм индивидуальное из триплекс</t>
  </si>
  <si>
    <r>
      <t>Ограждение ОГС-3</t>
    </r>
    <r>
      <rPr>
        <sz val="12"/>
        <color theme="1"/>
        <rFont val="Times New Roman"/>
        <family val="1"/>
        <charset val="204"/>
      </rPr>
      <t>÷</t>
    </r>
    <r>
      <rPr>
        <sz val="12"/>
        <color theme="1"/>
        <rFont val="Times New Roman"/>
        <family val="2"/>
        <charset val="204"/>
      </rPr>
      <t>ОГС-7 высотой 1200мм индивидуальное из триплекс</t>
    </r>
  </si>
  <si>
    <t>Ведомость объемов работ №10</t>
  </si>
  <si>
    <t>Анкер HLC 10/100/65</t>
  </si>
  <si>
    <t>Сверление отверстий горизонтальных диаметром 10 глубиной 65мм в кирпичной стене</t>
  </si>
  <si>
    <t>Сверление отверстий вертикальных диаметром 10 глубиной 65мм в железобетонной плите</t>
  </si>
  <si>
    <t>Ограждение индивидуальное хромированное уличное</t>
  </si>
  <si>
    <t>Кровля входных козырьков 6971-ВОР-07</t>
  </si>
  <si>
    <t>Устройство пароизоляции из Паробарьера СА 500</t>
  </si>
  <si>
    <t>Утепление покрытия Плиты из минеральной ваты - ТЕХНОРУФ Н ПРОФ толщиной 180мм</t>
  </si>
  <si>
    <t>Устройство разуклонки из Плиты из минеральной ваты - ТЕХНОРУФ Н ПРОФ КЛИН толщиной 30-250мм</t>
  </si>
  <si>
    <t>Огрунтовка со всех сторон праймером ТН№01 хризотилцементных
прессованных плоских листов толщиной не менее 10мм каждый</t>
  </si>
  <si>
    <t>2 слоя листов</t>
  </si>
  <si>
    <t>Праймер ТН №01</t>
  </si>
  <si>
    <t>Cборная (сухая ) стяжка из двух хризотилцементных
прессованных плоских листов толщиной 10 мм каждый с креплением Телескопическим крепежом ТехноНИКОЛЬ 350мм - общая толщина 20мм</t>
  </si>
  <si>
    <t>Количество крепежа 4шт/м2</t>
  </si>
  <si>
    <t>Огрунтовка основания праймером битумным ТН №01</t>
  </si>
  <si>
    <t>Унифлекс ВЕНТ ЭПВ</t>
  </si>
  <si>
    <t>Устройство наплавляемой кровли в 2 слоя (Унифлекс ВЕНТ ЭПВ+Техноэласт К ЭКП)</t>
  </si>
  <si>
    <t>Устрйоство примыкания у парапету козырька 6971-ВОР-031</t>
  </si>
  <si>
    <t>Устройство примыкания к парапету высотой 840мм</t>
  </si>
  <si>
    <t>Устройство примыкания к парапету высотой 1340мм</t>
  </si>
  <si>
    <t>Техноэласт К ЭКП</t>
  </si>
  <si>
    <t>Технониколь Галтель 1200мм</t>
  </si>
  <si>
    <t xml:space="preserve"> Мастика ТЕХНОНИКОЛЬ №71 310мл </t>
  </si>
  <si>
    <t>Паробарьер СА500</t>
  </si>
  <si>
    <t xml:space="preserve"> Уголок из оцинкованной стали толщиной 0,8мм</t>
  </si>
  <si>
    <t xml:space="preserve"> Саморез сверлоконечный 4,2х25 с прессшайбой шаг 200мм</t>
  </si>
  <si>
    <t>для крепления уголка</t>
  </si>
  <si>
    <t xml:space="preserve"> ТЕХНОЛАЙТ ЭКСТРА</t>
  </si>
  <si>
    <t>в 1 горфу профлиста вдоль примыкания</t>
  </si>
  <si>
    <t>0,056м2 - площадь одной гофры</t>
  </si>
  <si>
    <t xml:space="preserve"> Рейка краевая алюминиевая ТехноНИКОЛЬ Стандарт 2м </t>
  </si>
  <si>
    <t>по узлу У.3.1-2024.09</t>
  </si>
  <si>
    <t xml:space="preserve"> Саморез сверлоконечный ТЕХНОНИКОЛЬ 5,5х35</t>
  </si>
  <si>
    <t>для рейки</t>
  </si>
  <si>
    <t>Уголок 40х40х4 горячекатанный</t>
  </si>
  <si>
    <t xml:space="preserve"> Саморез сверлоконечный ТЕХНОНИКОЛЬ 4,8х50</t>
  </si>
  <si>
    <t>для уголка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</si>
</sst>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2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8"/>
      <name val="Times New Roman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1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3" borderId="1" xfId="2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1" fillId="2" borderId="1" xfId="1" applyNumberForma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2" borderId="2" xfId="1" applyBorder="1" applyAlignment="1">
      <alignment horizontal="center" vertical="center" wrapText="1"/>
    </xf>
    <xf numFmtId="0" fontId="1" fillId="2" borderId="3" xfId="1" applyBorder="1" applyAlignment="1">
      <alignment horizontal="center" vertical="center" wrapText="1"/>
    </xf>
    <xf numFmtId="0" fontId="1" fillId="2" borderId="4" xfId="1" applyBorder="1" applyAlignment="1">
      <alignment horizontal="center" vertical="center" wrapText="1"/>
    </xf>
  </cellXfs>
  <cellStyles count="3">
    <cellStyle name="Акцент6" xfId="1" builtinId="49"/>
    <cellStyle name="Гиперссылка" xfId="2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ument-link.sarex.io/872927ed-c92f-408b-a82c-c1fb47a63ea4" TargetMode="External"/><Relationship Id="rId2" Type="http://schemas.openxmlformats.org/officeDocument/2006/relationships/hyperlink" Target="https://document-link.sarex.io/872927ed-c92f-408b-a82c-c1fb47a63ea4" TargetMode="External"/><Relationship Id="rId1" Type="http://schemas.openxmlformats.org/officeDocument/2006/relationships/hyperlink" Target="https://document-link.sarex.io/872927ed-c92f-408b-a82c-c1fb47a63ea4" TargetMode="External"/><Relationship Id="rId4" Type="http://schemas.openxmlformats.org/officeDocument/2006/relationships/hyperlink" Target="https://document-link.sarex.io/872927ed-c92f-408b-a82c-c1fb47a63ea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E0F2C-0C2D-425E-8B64-24BF7AE8E856}">
  <dimension ref="A1:H75"/>
  <sheetViews>
    <sheetView topLeftCell="A66" zoomScaleNormal="100" workbookViewId="0">
      <selection activeCell="E54" sqref="E54"/>
    </sheetView>
  </sheetViews>
  <sheetFormatPr defaultRowHeight="15.6" x14ac:dyDescent="0.3"/>
  <cols>
    <col min="1" max="1" width="13.19921875" customWidth="1"/>
    <col min="2" max="2" width="44.59765625" customWidth="1"/>
    <col min="3" max="3" width="12.5" customWidth="1"/>
    <col min="4" max="4" width="10.69921875" customWidth="1"/>
    <col min="5" max="5" width="33.09765625" customWidth="1"/>
    <col min="6" max="6" width="15.19921875" style="11" customWidth="1"/>
  </cols>
  <sheetData>
    <row r="1" spans="1:6" x14ac:dyDescent="0.3">
      <c r="A1" s="18" t="s">
        <v>56</v>
      </c>
      <c r="B1" s="18"/>
      <c r="C1" s="18"/>
      <c r="D1" s="18"/>
      <c r="E1" s="1">
        <f ca="1">TODAY()</f>
        <v>45862</v>
      </c>
    </row>
    <row r="2" spans="1:6" x14ac:dyDescent="0.3">
      <c r="A2" s="2" t="s">
        <v>1</v>
      </c>
      <c r="B2" s="19" t="s">
        <v>2</v>
      </c>
      <c r="C2" s="19"/>
      <c r="D2" s="19"/>
      <c r="E2" s="19"/>
    </row>
    <row r="3" spans="1:6" ht="31.2" x14ac:dyDescent="0.3">
      <c r="A3" s="4" t="s">
        <v>3</v>
      </c>
      <c r="B3" s="5" t="s">
        <v>4</v>
      </c>
      <c r="C3" s="4" t="s">
        <v>5</v>
      </c>
      <c r="D3" s="4" t="s">
        <v>6</v>
      </c>
      <c r="E3" s="6" t="s">
        <v>7</v>
      </c>
    </row>
    <row r="4" spans="1:6" hidden="1" x14ac:dyDescent="0.3">
      <c r="A4" s="17" t="s">
        <v>39</v>
      </c>
      <c r="B4" s="17"/>
      <c r="C4" s="17"/>
      <c r="D4" s="17"/>
      <c r="E4" s="17"/>
    </row>
    <row r="5" spans="1:6" ht="62.4" hidden="1" x14ac:dyDescent="0.3">
      <c r="A5" s="8"/>
      <c r="B5" s="8" t="s">
        <v>13</v>
      </c>
      <c r="C5" s="8" t="s">
        <v>14</v>
      </c>
      <c r="D5" s="8">
        <f>9.315*1.2</f>
        <v>11.177999999999999</v>
      </c>
      <c r="E5" s="8"/>
    </row>
    <row r="6" spans="1:6" hidden="1" x14ac:dyDescent="0.3">
      <c r="A6" s="10"/>
      <c r="B6" s="10" t="s">
        <v>15</v>
      </c>
      <c r="C6" s="10" t="s">
        <v>8</v>
      </c>
      <c r="D6" s="10">
        <f>D5*0.7*1.15</f>
        <v>8.9982899999999972</v>
      </c>
      <c r="E6" s="10"/>
    </row>
    <row r="7" spans="1:6" hidden="1" x14ac:dyDescent="0.3">
      <c r="A7" s="10"/>
      <c r="B7" s="10" t="s">
        <v>16</v>
      </c>
      <c r="C7" s="10" t="s">
        <v>8</v>
      </c>
      <c r="D7" s="10">
        <f>D5*0.81*1.15</f>
        <v>10.412307</v>
      </c>
      <c r="E7" s="10"/>
    </row>
    <row r="8" spans="1:6" hidden="1" x14ac:dyDescent="0.3">
      <c r="A8" s="10"/>
      <c r="B8" s="10" t="s">
        <v>17</v>
      </c>
      <c r="C8" s="10" t="s">
        <v>10</v>
      </c>
      <c r="D8" s="10">
        <f>0.25*D5*0.94</f>
        <v>2.6268299999999996</v>
      </c>
      <c r="E8" s="10"/>
    </row>
    <row r="9" spans="1:6" ht="31.2" hidden="1" x14ac:dyDescent="0.3">
      <c r="A9" s="10"/>
      <c r="B9" s="10" t="s">
        <v>18</v>
      </c>
      <c r="C9" s="10" t="s">
        <v>14</v>
      </c>
      <c r="D9" s="10">
        <f>D5</f>
        <v>11.177999999999999</v>
      </c>
      <c r="E9" s="10"/>
    </row>
    <row r="10" spans="1:6" hidden="1" x14ac:dyDescent="0.3">
      <c r="A10" s="10"/>
      <c r="B10" s="10" t="s">
        <v>19</v>
      </c>
      <c r="C10" s="10" t="s">
        <v>12</v>
      </c>
      <c r="D10" s="10">
        <f>ROUNDUP(D9/0.5,0)</f>
        <v>23</v>
      </c>
      <c r="E10" s="10"/>
    </row>
    <row r="11" spans="1:6" hidden="1" x14ac:dyDescent="0.3">
      <c r="A11" s="10"/>
      <c r="B11" s="10" t="s">
        <v>40</v>
      </c>
      <c r="C11" s="10" t="s">
        <v>12</v>
      </c>
      <c r="D11" s="10">
        <f>ROUNDUP(D9/1.2,0)</f>
        <v>10</v>
      </c>
      <c r="E11" s="10"/>
    </row>
    <row r="12" spans="1:6" hidden="1" x14ac:dyDescent="0.3">
      <c r="A12" s="10"/>
      <c r="B12" s="10" t="s">
        <v>21</v>
      </c>
      <c r="C12" s="10" t="s">
        <v>8</v>
      </c>
      <c r="D12" s="10">
        <f>D5*0.25</f>
        <v>2.7944999999999998</v>
      </c>
      <c r="E12" s="10"/>
    </row>
    <row r="13" spans="1:6" hidden="1" x14ac:dyDescent="0.3">
      <c r="A13" s="10"/>
      <c r="B13" s="10" t="s">
        <v>22</v>
      </c>
      <c r="C13" s="10" t="s">
        <v>12</v>
      </c>
      <c r="D13" s="10">
        <f>ROUNDUP(D5/0.3,0)</f>
        <v>38</v>
      </c>
      <c r="E13" s="10"/>
    </row>
    <row r="14" spans="1:6" ht="31.2" hidden="1" x14ac:dyDescent="0.3">
      <c r="A14" s="10"/>
      <c r="B14" s="10" t="s">
        <v>23</v>
      </c>
      <c r="C14" s="10" t="s">
        <v>12</v>
      </c>
      <c r="D14" s="10">
        <f>ROUNDUP((D5*0.01*0.02)/0.00031,0)</f>
        <v>8</v>
      </c>
      <c r="E14" s="10"/>
    </row>
    <row r="15" spans="1:6" hidden="1" x14ac:dyDescent="0.3">
      <c r="A15" s="17" t="s">
        <v>31</v>
      </c>
      <c r="B15" s="17"/>
      <c r="C15" s="17"/>
      <c r="D15" s="17"/>
      <c r="E15" s="17"/>
    </row>
    <row r="16" spans="1:6" ht="62.4" hidden="1" x14ac:dyDescent="0.3">
      <c r="A16" s="8"/>
      <c r="B16" s="8" t="s">
        <v>13</v>
      </c>
      <c r="C16" s="8" t="s">
        <v>14</v>
      </c>
      <c r="D16" s="8">
        <f>93.28*1.2</f>
        <v>111.93599999999999</v>
      </c>
      <c r="E16" s="8"/>
      <c r="F16" s="11">
        <f>D16+D27+D38+D5</f>
        <v>284.04599999999994</v>
      </c>
    </row>
    <row r="17" spans="1:5" hidden="1" x14ac:dyDescent="0.3">
      <c r="A17" s="10"/>
      <c r="B17" s="10" t="s">
        <v>15</v>
      </c>
      <c r="C17" s="10" t="s">
        <v>8</v>
      </c>
      <c r="D17" s="10">
        <f>D16*0.7*1.15</f>
        <v>90.108479999999986</v>
      </c>
      <c r="E17" s="10"/>
    </row>
    <row r="18" spans="1:5" hidden="1" x14ac:dyDescent="0.3">
      <c r="A18" s="10"/>
      <c r="B18" s="10" t="s">
        <v>16</v>
      </c>
      <c r="C18" s="10" t="s">
        <v>8</v>
      </c>
      <c r="D18" s="10">
        <f>D16*0.81*1.15</f>
        <v>104.268384</v>
      </c>
      <c r="E18" s="10"/>
    </row>
    <row r="19" spans="1:5" hidden="1" x14ac:dyDescent="0.3">
      <c r="A19" s="10"/>
      <c r="B19" s="10" t="s">
        <v>17</v>
      </c>
      <c r="C19" s="10" t="s">
        <v>10</v>
      </c>
      <c r="D19" s="10">
        <f>0.25*D16*0.94</f>
        <v>26.304959999999998</v>
      </c>
      <c r="E19" s="10"/>
    </row>
    <row r="20" spans="1:5" ht="31.2" hidden="1" x14ac:dyDescent="0.3">
      <c r="A20" s="10"/>
      <c r="B20" s="10" t="s">
        <v>18</v>
      </c>
      <c r="C20" s="10" t="s">
        <v>14</v>
      </c>
      <c r="D20" s="10">
        <f>D16</f>
        <v>111.93599999999999</v>
      </c>
      <c r="E20" s="10"/>
    </row>
    <row r="21" spans="1:5" hidden="1" x14ac:dyDescent="0.3">
      <c r="A21" s="10"/>
      <c r="B21" s="10" t="s">
        <v>19</v>
      </c>
      <c r="C21" s="10" t="s">
        <v>12</v>
      </c>
      <c r="D21" s="10">
        <f>ROUNDUP(D20/0.5,0)</f>
        <v>224</v>
      </c>
      <c r="E21" s="10"/>
    </row>
    <row r="22" spans="1:5" hidden="1" x14ac:dyDescent="0.3">
      <c r="A22" s="10"/>
      <c r="B22" s="10" t="s">
        <v>20</v>
      </c>
      <c r="C22" s="10" t="s">
        <v>12</v>
      </c>
      <c r="D22" s="10">
        <f>ROUNDUP(D20/1.2,0)</f>
        <v>94</v>
      </c>
      <c r="E22" s="10"/>
    </row>
    <row r="23" spans="1:5" hidden="1" x14ac:dyDescent="0.3">
      <c r="A23" s="10"/>
      <c r="B23" s="10" t="s">
        <v>21</v>
      </c>
      <c r="C23" s="10" t="s">
        <v>8</v>
      </c>
      <c r="D23" s="10">
        <f>D16*0.25</f>
        <v>27.983999999999998</v>
      </c>
      <c r="E23" s="10"/>
    </row>
    <row r="24" spans="1:5" hidden="1" x14ac:dyDescent="0.3">
      <c r="A24" s="10"/>
      <c r="B24" s="10" t="s">
        <v>22</v>
      </c>
      <c r="C24" s="10" t="s">
        <v>12</v>
      </c>
      <c r="D24" s="10">
        <f>ROUNDUP(D16/0.3,0)</f>
        <v>374</v>
      </c>
      <c r="E24" s="10"/>
    </row>
    <row r="25" spans="1:5" ht="31.2" hidden="1" x14ac:dyDescent="0.3">
      <c r="A25" s="10"/>
      <c r="B25" s="10" t="s">
        <v>23</v>
      </c>
      <c r="C25" s="10" t="s">
        <v>12</v>
      </c>
      <c r="D25" s="10">
        <f>ROUNDUP((D16*0.01*0.02)/0.00031,0)</f>
        <v>73</v>
      </c>
      <c r="E25" s="10"/>
    </row>
    <row r="26" spans="1:5" hidden="1" x14ac:dyDescent="0.3">
      <c r="A26" s="17" t="s">
        <v>32</v>
      </c>
      <c r="B26" s="17"/>
      <c r="C26" s="17"/>
      <c r="D26" s="17"/>
      <c r="E26" s="17"/>
    </row>
    <row r="27" spans="1:5" ht="62.4" hidden="1" x14ac:dyDescent="0.3">
      <c r="A27" s="8"/>
      <c r="B27" s="8" t="s">
        <v>13</v>
      </c>
      <c r="C27" s="8" t="s">
        <v>14</v>
      </c>
      <c r="D27" s="8">
        <f>(56.31+2.05*2+1.65*2)*1.2</f>
        <v>76.451999999999998</v>
      </c>
      <c r="E27" s="8"/>
    </row>
    <row r="28" spans="1:5" hidden="1" x14ac:dyDescent="0.3">
      <c r="A28" s="10"/>
      <c r="B28" s="10" t="s">
        <v>15</v>
      </c>
      <c r="C28" s="10" t="s">
        <v>8</v>
      </c>
      <c r="D28" s="10">
        <f>D27*0.7*1.15</f>
        <v>61.543859999999995</v>
      </c>
      <c r="E28" s="10"/>
    </row>
    <row r="29" spans="1:5" hidden="1" x14ac:dyDescent="0.3">
      <c r="A29" s="10"/>
      <c r="B29" s="10" t="s">
        <v>16</v>
      </c>
      <c r="C29" s="10" t="s">
        <v>8</v>
      </c>
      <c r="D29" s="10">
        <f>D27*0.81*1.15</f>
        <v>71.215037999999993</v>
      </c>
      <c r="E29" s="10"/>
    </row>
    <row r="30" spans="1:5" hidden="1" x14ac:dyDescent="0.3">
      <c r="A30" s="10"/>
      <c r="B30" s="10" t="s">
        <v>17</v>
      </c>
      <c r="C30" s="10" t="s">
        <v>10</v>
      </c>
      <c r="D30" s="10">
        <f>0.25*D27*0.94</f>
        <v>17.96622</v>
      </c>
      <c r="E30" s="10"/>
    </row>
    <row r="31" spans="1:5" ht="31.2" hidden="1" x14ac:dyDescent="0.3">
      <c r="A31" s="10"/>
      <c r="B31" s="10" t="s">
        <v>18</v>
      </c>
      <c r="C31" s="10" t="s">
        <v>14</v>
      </c>
      <c r="D31" s="10">
        <f>D27</f>
        <v>76.451999999999998</v>
      </c>
      <c r="E31" s="10"/>
    </row>
    <row r="32" spans="1:5" hidden="1" x14ac:dyDescent="0.3">
      <c r="A32" s="10"/>
      <c r="B32" s="10" t="s">
        <v>19</v>
      </c>
      <c r="C32" s="10" t="s">
        <v>12</v>
      </c>
      <c r="D32" s="10">
        <f>ROUNDUP(D31/0.5,0)</f>
        <v>153</v>
      </c>
      <c r="E32" s="10"/>
    </row>
    <row r="33" spans="1:6" hidden="1" x14ac:dyDescent="0.3">
      <c r="A33" s="10"/>
      <c r="B33" s="10" t="s">
        <v>20</v>
      </c>
      <c r="C33" s="10" t="s">
        <v>12</v>
      </c>
      <c r="D33" s="10">
        <f>ROUNDUP(D31/1.2,0)</f>
        <v>64</v>
      </c>
      <c r="E33" s="10"/>
    </row>
    <row r="34" spans="1:6" hidden="1" x14ac:dyDescent="0.3">
      <c r="A34" s="10"/>
      <c r="B34" s="10" t="s">
        <v>21</v>
      </c>
      <c r="C34" s="10" t="s">
        <v>8</v>
      </c>
      <c r="D34" s="10">
        <f>D27*0.25</f>
        <v>19.113</v>
      </c>
      <c r="E34" s="10"/>
    </row>
    <row r="35" spans="1:6" hidden="1" x14ac:dyDescent="0.3">
      <c r="A35" s="10"/>
      <c r="B35" s="10" t="s">
        <v>22</v>
      </c>
      <c r="C35" s="10" t="s">
        <v>12</v>
      </c>
      <c r="D35" s="10">
        <f>ROUNDUP(D27/0.3,0)</f>
        <v>255</v>
      </c>
      <c r="E35" s="10"/>
    </row>
    <row r="36" spans="1:6" ht="31.2" hidden="1" x14ac:dyDescent="0.3">
      <c r="A36" s="10"/>
      <c r="B36" s="10" t="s">
        <v>23</v>
      </c>
      <c r="C36" s="10" t="s">
        <v>12</v>
      </c>
      <c r="D36" s="10">
        <f>ROUNDUP((D27*0.01*0.02)/0.00031,0)</f>
        <v>50</v>
      </c>
      <c r="E36" s="10"/>
    </row>
    <row r="37" spans="1:6" hidden="1" x14ac:dyDescent="0.3">
      <c r="A37" s="17" t="s">
        <v>33</v>
      </c>
      <c r="B37" s="17"/>
      <c r="C37" s="17"/>
      <c r="D37" s="17"/>
      <c r="E37" s="17"/>
    </row>
    <row r="38" spans="1:6" ht="62.4" hidden="1" x14ac:dyDescent="0.3">
      <c r="A38" s="8"/>
      <c r="B38" s="8" t="s">
        <v>13</v>
      </c>
      <c r="C38" s="8" t="s">
        <v>14</v>
      </c>
      <c r="D38" s="8">
        <f>(63+2.05*2+1.65*2)*1.2</f>
        <v>84.47999999999999</v>
      </c>
      <c r="E38" s="8"/>
    </row>
    <row r="39" spans="1:6" hidden="1" x14ac:dyDescent="0.3">
      <c r="A39" s="10"/>
      <c r="B39" s="10" t="s">
        <v>15</v>
      </c>
      <c r="C39" s="10" t="s">
        <v>8</v>
      </c>
      <c r="D39" s="10">
        <f>D38*0.7*1.15</f>
        <v>68.006399999999985</v>
      </c>
      <c r="E39" s="10"/>
    </row>
    <row r="40" spans="1:6" hidden="1" x14ac:dyDescent="0.3">
      <c r="A40" s="10"/>
      <c r="B40" s="10" t="s">
        <v>16</v>
      </c>
      <c r="C40" s="10" t="s">
        <v>8</v>
      </c>
      <c r="D40" s="10">
        <f>D38*0.81*1.15</f>
        <v>78.693119999999993</v>
      </c>
      <c r="E40" s="10"/>
    </row>
    <row r="41" spans="1:6" hidden="1" x14ac:dyDescent="0.3">
      <c r="A41" s="10"/>
      <c r="B41" s="10" t="s">
        <v>17</v>
      </c>
      <c r="C41" s="10" t="s">
        <v>10</v>
      </c>
      <c r="D41" s="10">
        <f>0.25*D38*0.94</f>
        <v>19.852799999999995</v>
      </c>
      <c r="E41" s="10" t="s">
        <v>11</v>
      </c>
    </row>
    <row r="42" spans="1:6" ht="31.2" hidden="1" x14ac:dyDescent="0.3">
      <c r="A42" s="10"/>
      <c r="B42" s="10" t="s">
        <v>18</v>
      </c>
      <c r="C42" s="10" t="s">
        <v>14</v>
      </c>
      <c r="D42" s="10">
        <f>D38</f>
        <v>84.47999999999999</v>
      </c>
      <c r="E42" s="10"/>
    </row>
    <row r="43" spans="1:6" hidden="1" x14ac:dyDescent="0.3">
      <c r="A43" s="10"/>
      <c r="B43" s="10" t="s">
        <v>19</v>
      </c>
      <c r="C43" s="10" t="s">
        <v>12</v>
      </c>
      <c r="D43" s="10">
        <f>ROUNDUP(D42/0.5,0)</f>
        <v>169</v>
      </c>
      <c r="E43" s="10"/>
    </row>
    <row r="44" spans="1:6" hidden="1" x14ac:dyDescent="0.3">
      <c r="A44" s="10"/>
      <c r="B44" s="10" t="s">
        <v>20</v>
      </c>
      <c r="C44" s="10" t="s">
        <v>12</v>
      </c>
      <c r="D44" s="10">
        <f>ROUNDUP(D42/1.2,0)</f>
        <v>71</v>
      </c>
      <c r="E44" s="10"/>
    </row>
    <row r="45" spans="1:6" hidden="1" x14ac:dyDescent="0.3">
      <c r="A45" s="10"/>
      <c r="B45" s="10" t="s">
        <v>21</v>
      </c>
      <c r="C45" s="10" t="s">
        <v>8</v>
      </c>
      <c r="D45" s="10">
        <f>D38*0.25</f>
        <v>21.119999999999997</v>
      </c>
      <c r="E45" s="10"/>
    </row>
    <row r="46" spans="1:6" hidden="1" x14ac:dyDescent="0.3">
      <c r="A46" s="10"/>
      <c r="B46" s="10" t="s">
        <v>22</v>
      </c>
      <c r="C46" s="10" t="s">
        <v>12</v>
      </c>
      <c r="D46" s="10">
        <f>ROUNDUP(D38/0.3,0)</f>
        <v>282</v>
      </c>
      <c r="E46" s="10"/>
    </row>
    <row r="47" spans="1:6" ht="31.2" hidden="1" x14ac:dyDescent="0.3">
      <c r="A47" s="10"/>
      <c r="B47" s="10" t="s">
        <v>23</v>
      </c>
      <c r="C47" s="10" t="s">
        <v>12</v>
      </c>
      <c r="D47" s="10">
        <f>ROUNDUP((D38*0.01*0.02)/0.00031,0)</f>
        <v>55</v>
      </c>
      <c r="E47" s="10"/>
    </row>
    <row r="48" spans="1:6" x14ac:dyDescent="0.3">
      <c r="A48" s="17" t="s">
        <v>48</v>
      </c>
      <c r="B48" s="17"/>
      <c r="C48" s="17"/>
      <c r="D48" s="17"/>
      <c r="E48" s="17"/>
      <c r="F48" s="13" t="s">
        <v>35</v>
      </c>
    </row>
    <row r="49" spans="1:8" ht="46.8" x14ac:dyDescent="0.3">
      <c r="A49" s="8"/>
      <c r="B49" s="8" t="s">
        <v>41</v>
      </c>
      <c r="C49" s="8" t="s">
        <v>14</v>
      </c>
      <c r="D49" s="8">
        <f>ROUNDUP(21.92+11.24,1)</f>
        <v>33.200000000000003</v>
      </c>
      <c r="E49" s="12" t="s">
        <v>36</v>
      </c>
      <c r="F49" s="13"/>
    </row>
    <row r="50" spans="1:8" ht="31.2" x14ac:dyDescent="0.3">
      <c r="A50" s="10"/>
      <c r="B50" s="10" t="s">
        <v>38</v>
      </c>
      <c r="C50" s="10" t="s">
        <v>14</v>
      </c>
      <c r="D50" s="10">
        <f>D49</f>
        <v>33.200000000000003</v>
      </c>
      <c r="E50" s="10"/>
      <c r="F50" s="13" t="s">
        <v>34</v>
      </c>
    </row>
    <row r="51" spans="1:8" x14ac:dyDescent="0.3">
      <c r="A51" s="10"/>
      <c r="B51" s="10" t="s">
        <v>57</v>
      </c>
      <c r="C51" s="10" t="s">
        <v>12</v>
      </c>
      <c r="D51" s="10">
        <f>D52</f>
        <v>136</v>
      </c>
      <c r="E51" s="10"/>
      <c r="F51" s="13"/>
    </row>
    <row r="52" spans="1:8" ht="31.2" x14ac:dyDescent="0.3">
      <c r="A52" s="8"/>
      <c r="B52" s="8" t="s">
        <v>58</v>
      </c>
      <c r="C52" s="8" t="s">
        <v>12</v>
      </c>
      <c r="D52" s="8">
        <f>ROUNDUP(D49/1,0)*4</f>
        <v>136</v>
      </c>
      <c r="E52" s="8"/>
      <c r="F52" s="13" t="s">
        <v>37</v>
      </c>
    </row>
    <row r="53" spans="1:8" ht="46.8" x14ac:dyDescent="0.3">
      <c r="A53" s="8"/>
      <c r="B53" s="8" t="s">
        <v>42</v>
      </c>
      <c r="C53" s="8" t="s">
        <v>14</v>
      </c>
      <c r="D53" s="15">
        <f>29.1</f>
        <v>29.1</v>
      </c>
      <c r="E53" s="12" t="s">
        <v>36</v>
      </c>
      <c r="F53" s="13" t="s">
        <v>37</v>
      </c>
    </row>
    <row r="54" spans="1:8" ht="46.8" x14ac:dyDescent="0.3">
      <c r="A54" s="10"/>
      <c r="B54" s="10" t="s">
        <v>47</v>
      </c>
      <c r="C54" s="10" t="s">
        <v>14</v>
      </c>
      <c r="D54" s="10">
        <f>D53</f>
        <v>29.1</v>
      </c>
      <c r="E54" s="10"/>
      <c r="F54" s="13" t="s">
        <v>37</v>
      </c>
    </row>
    <row r="55" spans="1:8" x14ac:dyDescent="0.3">
      <c r="A55" s="10"/>
      <c r="B55" s="10" t="s">
        <v>57</v>
      </c>
      <c r="C55" s="10" t="s">
        <v>12</v>
      </c>
      <c r="D55" s="10">
        <f>D56</f>
        <v>112</v>
      </c>
      <c r="E55" s="10"/>
      <c r="F55" s="13" t="s">
        <v>37</v>
      </c>
    </row>
    <row r="56" spans="1:8" ht="31.2" x14ac:dyDescent="0.3">
      <c r="A56" s="8"/>
      <c r="B56" s="8" t="s">
        <v>59</v>
      </c>
      <c r="C56" s="8" t="s">
        <v>12</v>
      </c>
      <c r="D56" s="8">
        <f>4*28</f>
        <v>112</v>
      </c>
      <c r="E56" s="8"/>
      <c r="F56" s="13" t="s">
        <v>37</v>
      </c>
    </row>
    <row r="57" spans="1:8" ht="31.2" x14ac:dyDescent="0.3">
      <c r="A57" s="8"/>
      <c r="B57" s="8" t="s">
        <v>50</v>
      </c>
      <c r="C57" s="8" t="s">
        <v>14</v>
      </c>
      <c r="D57" s="15">
        <f>20</f>
        <v>20</v>
      </c>
      <c r="E57" s="12"/>
      <c r="F57" s="13" t="s">
        <v>37</v>
      </c>
      <c r="H57">
        <f>2+8.5</f>
        <v>10.5</v>
      </c>
    </row>
    <row r="58" spans="1:8" ht="31.2" x14ac:dyDescent="0.3">
      <c r="A58" s="10"/>
      <c r="B58" s="10" t="s">
        <v>60</v>
      </c>
      <c r="C58" s="10" t="s">
        <v>14</v>
      </c>
      <c r="D58" s="10">
        <v>20</v>
      </c>
      <c r="E58" s="10"/>
      <c r="F58" s="13" t="s">
        <v>37</v>
      </c>
    </row>
    <row r="59" spans="1:8" x14ac:dyDescent="0.3">
      <c r="A59" s="17" t="s">
        <v>43</v>
      </c>
      <c r="B59" s="17"/>
      <c r="C59" s="17"/>
      <c r="D59" s="17"/>
      <c r="E59" s="17"/>
    </row>
    <row r="60" spans="1:8" x14ac:dyDescent="0.3">
      <c r="A60" s="8"/>
      <c r="B60" s="8" t="s">
        <v>45</v>
      </c>
      <c r="C60" s="8" t="s">
        <v>24</v>
      </c>
      <c r="D60" s="8">
        <f>((165+128+49+47+67+39+25+15+96+86+89+58)*16.76+(12+4+3+2+7+5)*78.5)*1.04/1000</f>
        <v>17.7539856</v>
      </c>
      <c r="E60" s="8"/>
    </row>
    <row r="61" spans="1:8" ht="31.2" x14ac:dyDescent="0.3">
      <c r="A61" s="10"/>
      <c r="B61" s="10" t="s">
        <v>25</v>
      </c>
      <c r="C61" s="10" t="s">
        <v>24</v>
      </c>
      <c r="D61" s="10">
        <f>(165+128+49+47+67+39+25+15+96+86+89+58)*16.76/1000*1.04</f>
        <v>15.059865600000002</v>
      </c>
      <c r="E61" s="10"/>
    </row>
    <row r="62" spans="1:8" x14ac:dyDescent="0.3">
      <c r="A62" s="10"/>
      <c r="B62" s="10" t="s">
        <v>30</v>
      </c>
      <c r="C62" s="10" t="s">
        <v>24</v>
      </c>
      <c r="D62" s="10">
        <f>(12+4+3+2+7+5)*78.5/1000*1.04</f>
        <v>2.6941200000000003</v>
      </c>
      <c r="E62" s="10"/>
    </row>
    <row r="63" spans="1:8" ht="31.2" x14ac:dyDescent="0.3">
      <c r="A63" s="10"/>
      <c r="B63" s="10" t="s">
        <v>26</v>
      </c>
      <c r="C63" s="10" t="s">
        <v>12</v>
      </c>
      <c r="D63" s="10">
        <f>516+196+132+68+296+196</f>
        <v>1404</v>
      </c>
      <c r="E63" s="10"/>
    </row>
    <row r="64" spans="1:8" x14ac:dyDescent="0.3">
      <c r="A64" s="8"/>
      <c r="B64" s="8" t="s">
        <v>46</v>
      </c>
      <c r="C64" s="8" t="s">
        <v>24</v>
      </c>
      <c r="D64" s="8">
        <f>D65*1.04</f>
        <v>13.103896000000002</v>
      </c>
      <c r="E64" s="8"/>
      <c r="F64" s="13" t="s">
        <v>37</v>
      </c>
    </row>
    <row r="65" spans="1:6" x14ac:dyDescent="0.3">
      <c r="A65" s="10"/>
      <c r="B65" s="10" t="s">
        <v>44</v>
      </c>
      <c r="C65" s="10" t="s">
        <v>24</v>
      </c>
      <c r="D65" s="10">
        <f>15.46*815/1000</f>
        <v>12.599900000000002</v>
      </c>
      <c r="E65" s="10"/>
      <c r="F65" s="13" t="s">
        <v>37</v>
      </c>
    </row>
    <row r="66" spans="1:6" ht="31.2" x14ac:dyDescent="0.3">
      <c r="A66" s="10"/>
      <c r="B66" s="10" t="s">
        <v>26</v>
      </c>
      <c r="C66" s="10" t="s">
        <v>12</v>
      </c>
      <c r="D66" s="10">
        <v>670</v>
      </c>
      <c r="E66" s="10"/>
      <c r="F66" s="13" t="s">
        <v>37</v>
      </c>
    </row>
    <row r="67" spans="1:6" ht="31.2" x14ac:dyDescent="0.3">
      <c r="A67" s="8"/>
      <c r="B67" s="8" t="s">
        <v>27</v>
      </c>
      <c r="C67" s="8" t="s">
        <v>12</v>
      </c>
      <c r="D67" s="8">
        <f>D66+D63</f>
        <v>2074</v>
      </c>
      <c r="E67" s="8"/>
      <c r="F67" s="13" t="s">
        <v>49</v>
      </c>
    </row>
    <row r="68" spans="1:6" ht="31.2" x14ac:dyDescent="0.3">
      <c r="A68" s="8"/>
      <c r="B68" s="8" t="s">
        <v>28</v>
      </c>
      <c r="C68" s="8" t="s">
        <v>8</v>
      </c>
      <c r="D68" s="8">
        <f>0.14*4*(165+128+49+47+67+39+25+15+96+86+89+58)+(12+4+3+2+7+5)*2+0.49*815</f>
        <v>949.19</v>
      </c>
      <c r="E68" s="8"/>
      <c r="F68" s="13" t="s">
        <v>49</v>
      </c>
    </row>
    <row r="69" spans="1:6" ht="31.2" x14ac:dyDescent="0.3">
      <c r="A69" s="8"/>
      <c r="B69" s="8" t="s">
        <v>29</v>
      </c>
      <c r="C69" s="8" t="s">
        <v>8</v>
      </c>
      <c r="D69" s="8">
        <f>D68</f>
        <v>949.19</v>
      </c>
      <c r="E69" s="8"/>
      <c r="F69" s="13" t="s">
        <v>49</v>
      </c>
    </row>
    <row r="70" spans="1:6" x14ac:dyDescent="0.3">
      <c r="A70" s="17" t="s">
        <v>51</v>
      </c>
      <c r="B70" s="17"/>
      <c r="C70" s="17"/>
      <c r="D70" s="17"/>
      <c r="E70" s="17"/>
      <c r="F70" s="13" t="s">
        <v>37</v>
      </c>
    </row>
    <row r="71" spans="1:6" ht="46.8" x14ac:dyDescent="0.3">
      <c r="A71" s="8"/>
      <c r="B71" s="8" t="s">
        <v>52</v>
      </c>
      <c r="C71" s="8" t="s">
        <v>14</v>
      </c>
      <c r="D71" s="8">
        <f>26.1+30.3</f>
        <v>56.400000000000006</v>
      </c>
      <c r="E71" s="12" t="s">
        <v>36</v>
      </c>
      <c r="F71" s="13" t="s">
        <v>37</v>
      </c>
    </row>
    <row r="72" spans="1:6" ht="31.2" x14ac:dyDescent="0.3">
      <c r="A72" s="10"/>
      <c r="B72" s="10" t="s">
        <v>54</v>
      </c>
      <c r="C72" s="10" t="s">
        <v>14</v>
      </c>
      <c r="D72" s="10">
        <f>D71</f>
        <v>56.400000000000006</v>
      </c>
      <c r="E72" s="10"/>
      <c r="F72" s="13" t="s">
        <v>37</v>
      </c>
    </row>
    <row r="73" spans="1:6" ht="46.8" x14ac:dyDescent="0.3">
      <c r="A73" s="16"/>
      <c r="B73" s="8" t="s">
        <v>53</v>
      </c>
      <c r="C73" s="16" t="s">
        <v>14</v>
      </c>
      <c r="D73" s="16">
        <f>10.8+20.8+1.2+1.6+12.6</f>
        <v>47.000000000000007</v>
      </c>
      <c r="E73" s="12" t="s">
        <v>36</v>
      </c>
      <c r="F73" s="13" t="s">
        <v>37</v>
      </c>
    </row>
    <row r="74" spans="1:6" ht="31.2" x14ac:dyDescent="0.3">
      <c r="A74" s="14"/>
      <c r="B74" s="10" t="s">
        <v>55</v>
      </c>
      <c r="C74" s="10" t="s">
        <v>14</v>
      </c>
      <c r="D74" s="10">
        <f>D73</f>
        <v>47.000000000000007</v>
      </c>
      <c r="E74" s="10"/>
      <c r="F74" s="13" t="s">
        <v>37</v>
      </c>
    </row>
    <row r="75" spans="1:6" x14ac:dyDescent="0.3">
      <c r="A75" s="11"/>
      <c r="B75" s="11"/>
      <c r="C75" s="11"/>
      <c r="D75" s="11"/>
      <c r="E75" s="11"/>
    </row>
  </sheetData>
  <mergeCells count="9">
    <mergeCell ref="A70:E70"/>
    <mergeCell ref="A1:D1"/>
    <mergeCell ref="B2:E2"/>
    <mergeCell ref="A4:E4"/>
    <mergeCell ref="A15:E15"/>
    <mergeCell ref="A48:E48"/>
    <mergeCell ref="A59:E59"/>
    <mergeCell ref="A26:E26"/>
    <mergeCell ref="A37:E37"/>
  </mergeCells>
  <phoneticPr fontId="4" type="noConversion"/>
  <hyperlinks>
    <hyperlink ref="E49" r:id="rId1" xr:uid="{5591EB2D-8A37-4F93-A98B-6FEBCCD2E820}"/>
    <hyperlink ref="E53" r:id="rId2" xr:uid="{9C5DBCA3-9A6C-47B8-A1FB-BAB91A4C388D}"/>
    <hyperlink ref="E71" r:id="rId3" xr:uid="{ADCF5191-408F-449C-8E06-0BE2DAAE1BAA}"/>
    <hyperlink ref="E73" r:id="rId4" xr:uid="{F46CF7FD-959E-49FA-AB73-F485AC86C3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97F6D-DCB4-4716-938B-957F839880DE}">
  <dimension ref="A1:F40"/>
  <sheetViews>
    <sheetView tabSelected="1" zoomScale="85" zoomScaleNormal="85" workbookViewId="0">
      <selection activeCell="E18" sqref="E18"/>
    </sheetView>
  </sheetViews>
  <sheetFormatPr defaultRowHeight="15.6" x14ac:dyDescent="0.3"/>
  <cols>
    <col min="1" max="1" width="13.19921875" style="11" customWidth="1"/>
    <col min="2" max="2" width="44.59765625" style="7" customWidth="1"/>
    <col min="3" max="3" width="12.5" style="11" customWidth="1"/>
    <col min="4" max="4" width="10.69921875" style="11" customWidth="1"/>
    <col min="5" max="5" width="33.09765625" style="11" customWidth="1"/>
  </cols>
  <sheetData>
    <row r="1" spans="1:5" x14ac:dyDescent="0.3">
      <c r="A1" s="19" t="s">
        <v>0</v>
      </c>
      <c r="B1" s="19"/>
      <c r="C1" s="19"/>
      <c r="D1" s="19"/>
      <c r="E1" s="1">
        <f ca="1">TODAY()</f>
        <v>45862</v>
      </c>
    </row>
    <row r="2" spans="1:5" x14ac:dyDescent="0.3">
      <c r="A2" s="3" t="s">
        <v>1</v>
      </c>
      <c r="B2" s="19" t="s">
        <v>2</v>
      </c>
      <c r="C2" s="19"/>
      <c r="D2" s="19"/>
      <c r="E2" s="19"/>
    </row>
    <row r="3" spans="1:5" ht="31.2" x14ac:dyDescent="0.3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</row>
    <row r="4" spans="1:5" x14ac:dyDescent="0.3">
      <c r="A4" s="20" t="s">
        <v>61</v>
      </c>
      <c r="B4" s="21"/>
      <c r="C4" s="21"/>
      <c r="D4" s="21"/>
      <c r="E4" s="22"/>
    </row>
    <row r="5" spans="1:5" ht="31.2" x14ac:dyDescent="0.3">
      <c r="A5" s="8"/>
      <c r="B5" s="8" t="s">
        <v>62</v>
      </c>
      <c r="C5" s="8" t="s">
        <v>8</v>
      </c>
      <c r="D5" s="8">
        <f>133.4</f>
        <v>133.4</v>
      </c>
      <c r="E5" s="8"/>
    </row>
    <row r="6" spans="1:5" ht="31.2" x14ac:dyDescent="0.3">
      <c r="A6" s="8"/>
      <c r="B6" s="8" t="s">
        <v>63</v>
      </c>
      <c r="C6" s="8" t="s">
        <v>9</v>
      </c>
      <c r="D6" s="8">
        <f>133.4*0.18</f>
        <v>24.012</v>
      </c>
      <c r="E6" s="8"/>
    </row>
    <row r="7" spans="1:5" ht="46.8" x14ac:dyDescent="0.3">
      <c r="A7" s="8"/>
      <c r="B7" s="8" t="s">
        <v>64</v>
      </c>
      <c r="C7" s="8" t="s">
        <v>8</v>
      </c>
      <c r="D7" s="8">
        <f>133.4</f>
        <v>133.4</v>
      </c>
      <c r="E7" s="8"/>
    </row>
    <row r="8" spans="1:5" ht="62.4" x14ac:dyDescent="0.3">
      <c r="A8" s="8"/>
      <c r="B8" s="8" t="s">
        <v>65</v>
      </c>
      <c r="C8" s="8" t="s">
        <v>8</v>
      </c>
      <c r="D8" s="8">
        <f>133.4*4</f>
        <v>533.6</v>
      </c>
      <c r="E8" s="8" t="s">
        <v>66</v>
      </c>
    </row>
    <row r="9" spans="1:5" x14ac:dyDescent="0.3">
      <c r="A9" s="9"/>
      <c r="B9" s="9" t="s">
        <v>67</v>
      </c>
      <c r="C9" s="9" t="s">
        <v>10</v>
      </c>
      <c r="D9" s="9">
        <f>0.25*D8</f>
        <v>133.4</v>
      </c>
      <c r="E9" s="9"/>
    </row>
    <row r="10" spans="1:5" ht="93.6" x14ac:dyDescent="0.3">
      <c r="A10" s="8"/>
      <c r="B10" s="8" t="s">
        <v>68</v>
      </c>
      <c r="C10" s="8" t="s">
        <v>8</v>
      </c>
      <c r="D10" s="8">
        <f>133.4</f>
        <v>133.4</v>
      </c>
      <c r="E10" s="8" t="s">
        <v>69</v>
      </c>
    </row>
    <row r="11" spans="1:5" ht="31.2" x14ac:dyDescent="0.3">
      <c r="A11" s="8"/>
      <c r="B11" s="8" t="s">
        <v>70</v>
      </c>
      <c r="C11" s="8" t="s">
        <v>8</v>
      </c>
      <c r="D11" s="8">
        <f>133.4</f>
        <v>133.4</v>
      </c>
      <c r="E11" s="8"/>
    </row>
    <row r="12" spans="1:5" x14ac:dyDescent="0.3">
      <c r="A12" s="10"/>
      <c r="B12" s="9" t="s">
        <v>67</v>
      </c>
      <c r="C12" s="9" t="s">
        <v>10</v>
      </c>
      <c r="D12" s="9">
        <f>0.25*D11</f>
        <v>33.35</v>
      </c>
      <c r="E12" s="10"/>
    </row>
    <row r="13" spans="1:5" ht="31.2" x14ac:dyDescent="0.3">
      <c r="A13" s="8"/>
      <c r="B13" s="8" t="s">
        <v>72</v>
      </c>
      <c r="C13" s="8" t="s">
        <v>8</v>
      </c>
      <c r="D13" s="8">
        <f>133.4</f>
        <v>133.4</v>
      </c>
      <c r="E13" s="8"/>
    </row>
    <row r="14" spans="1:5" x14ac:dyDescent="0.3">
      <c r="A14" s="20" t="s">
        <v>73</v>
      </c>
      <c r="B14" s="21"/>
      <c r="C14" s="21"/>
      <c r="D14" s="21"/>
      <c r="E14" s="22"/>
    </row>
    <row r="15" spans="1:5" ht="31.2" x14ac:dyDescent="0.3">
      <c r="A15" s="8"/>
      <c r="B15" s="8" t="s">
        <v>74</v>
      </c>
      <c r="C15" s="8" t="s">
        <v>14</v>
      </c>
      <c r="D15" s="8">
        <f>2.5+25.65+2.51</f>
        <v>30.659999999999997</v>
      </c>
      <c r="E15" s="8" t="s">
        <v>87</v>
      </c>
    </row>
    <row r="16" spans="1:5" x14ac:dyDescent="0.3">
      <c r="A16" s="10"/>
      <c r="B16" s="10" t="s">
        <v>76</v>
      </c>
      <c r="C16" s="10" t="s">
        <v>8</v>
      </c>
      <c r="D16" s="10">
        <f>0.665*D15</f>
        <v>20.3889</v>
      </c>
      <c r="E16" s="10"/>
    </row>
    <row r="17" spans="1:6" x14ac:dyDescent="0.3">
      <c r="A17" s="14"/>
      <c r="B17" s="10" t="s">
        <v>71</v>
      </c>
      <c r="C17" s="14" t="s">
        <v>8</v>
      </c>
      <c r="D17" s="14">
        <f>D15*(0.3+0.48)</f>
        <v>23.9148</v>
      </c>
      <c r="E17" s="14"/>
    </row>
    <row r="18" spans="1:6" x14ac:dyDescent="0.3">
      <c r="A18" s="14"/>
      <c r="B18" s="10" t="s">
        <v>77</v>
      </c>
      <c r="C18" s="14" t="s">
        <v>12</v>
      </c>
      <c r="D18" s="14">
        <f>ROUNDUP(D15/1.2,0)</f>
        <v>26</v>
      </c>
      <c r="E18" s="14"/>
    </row>
    <row r="19" spans="1:6" x14ac:dyDescent="0.3">
      <c r="A19" s="14"/>
      <c r="B19" s="10" t="s">
        <v>78</v>
      </c>
      <c r="C19" s="14" t="s">
        <v>12</v>
      </c>
      <c r="D19" s="14">
        <f>ROUNDUP(150*D15/310,0)</f>
        <v>15</v>
      </c>
      <c r="E19" s="14"/>
    </row>
    <row r="20" spans="1:6" x14ac:dyDescent="0.3">
      <c r="A20" s="14"/>
      <c r="B20" s="10" t="s">
        <v>79</v>
      </c>
      <c r="C20" s="14" t="s">
        <v>8</v>
      </c>
      <c r="D20" s="14">
        <f>(0.43+0.15)*D15</f>
        <v>17.782799999999998</v>
      </c>
      <c r="E20" s="14"/>
    </row>
    <row r="21" spans="1:6" x14ac:dyDescent="0.3">
      <c r="A21" s="14"/>
      <c r="B21" s="10" t="s">
        <v>80</v>
      </c>
      <c r="C21" s="14" t="s">
        <v>14</v>
      </c>
      <c r="D21" s="14">
        <f>D15</f>
        <v>30.659999999999997</v>
      </c>
      <c r="E21" s="14"/>
    </row>
    <row r="22" spans="1:6" ht="31.2" x14ac:dyDescent="0.3">
      <c r="A22" s="14"/>
      <c r="B22" s="10" t="s">
        <v>81</v>
      </c>
      <c r="C22" s="14" t="s">
        <v>12</v>
      </c>
      <c r="D22" s="14">
        <f>ROUNDUP(D15/0.2,0)</f>
        <v>154</v>
      </c>
      <c r="E22" s="14" t="s">
        <v>82</v>
      </c>
    </row>
    <row r="23" spans="1:6" x14ac:dyDescent="0.3">
      <c r="A23" s="14"/>
      <c r="B23" s="10" t="s">
        <v>83</v>
      </c>
      <c r="C23" s="14" t="s">
        <v>9</v>
      </c>
      <c r="D23" s="14">
        <f>0.056*D15</f>
        <v>1.7169599999999998</v>
      </c>
      <c r="E23" s="14" t="s">
        <v>84</v>
      </c>
      <c r="F23" s="11" t="s">
        <v>85</v>
      </c>
    </row>
    <row r="24" spans="1:6" ht="31.2" x14ac:dyDescent="0.3">
      <c r="A24" s="14"/>
      <c r="B24" s="10" t="s">
        <v>86</v>
      </c>
      <c r="C24" s="14" t="s">
        <v>12</v>
      </c>
      <c r="D24" s="14">
        <f>ROUNDUP(D15/2,0)</f>
        <v>16</v>
      </c>
      <c r="E24" s="14"/>
    </row>
    <row r="25" spans="1:6" ht="31.2" x14ac:dyDescent="0.3">
      <c r="A25" s="14"/>
      <c r="B25" s="10" t="s">
        <v>88</v>
      </c>
      <c r="C25" s="14" t="s">
        <v>12</v>
      </c>
      <c r="D25" s="14">
        <f>ROUNDUP(D15/0.2,0)</f>
        <v>154</v>
      </c>
      <c r="E25" s="14" t="s">
        <v>89</v>
      </c>
    </row>
    <row r="26" spans="1:6" x14ac:dyDescent="0.3">
      <c r="A26" s="14"/>
      <c r="B26" s="10" t="s">
        <v>90</v>
      </c>
      <c r="C26" s="14" t="s">
        <v>24</v>
      </c>
      <c r="D26" s="14">
        <f>2.42*D15/1000</f>
        <v>7.4197199999999991E-2</v>
      </c>
      <c r="E26" s="14"/>
    </row>
    <row r="27" spans="1:6" ht="31.2" x14ac:dyDescent="0.3">
      <c r="A27" s="14"/>
      <c r="B27" s="10" t="s">
        <v>91</v>
      </c>
      <c r="C27" s="14" t="s">
        <v>12</v>
      </c>
      <c r="D27" s="14">
        <f>ROUNDUP(D15/0.5,0)</f>
        <v>62</v>
      </c>
      <c r="E27" s="14" t="s">
        <v>92</v>
      </c>
    </row>
    <row r="28" spans="1:6" ht="31.2" x14ac:dyDescent="0.3">
      <c r="A28" s="8"/>
      <c r="B28" s="8" t="s">
        <v>75</v>
      </c>
      <c r="C28" s="8" t="s">
        <v>14</v>
      </c>
      <c r="D28" s="8">
        <f>1.8+12.74+10.5+12.725+1.92</f>
        <v>39.685000000000002</v>
      </c>
      <c r="E28" s="8"/>
      <c r="F28">
        <f>5020-3680</f>
        <v>1340</v>
      </c>
    </row>
    <row r="29" spans="1:6" x14ac:dyDescent="0.3">
      <c r="A29" s="10"/>
      <c r="B29" s="10" t="s">
        <v>76</v>
      </c>
      <c r="C29" s="10" t="s">
        <v>8</v>
      </c>
      <c r="D29" s="10">
        <f>0.665*D28</f>
        <v>26.390525000000004</v>
      </c>
      <c r="E29" s="10"/>
    </row>
    <row r="30" spans="1:6" x14ac:dyDescent="0.3">
      <c r="A30" s="14"/>
      <c r="B30" s="10" t="s">
        <v>71</v>
      </c>
      <c r="C30" s="14" t="s">
        <v>8</v>
      </c>
      <c r="D30" s="14">
        <f>D28*(0.3+0.48)</f>
        <v>30.954300000000003</v>
      </c>
      <c r="E30" s="14"/>
    </row>
    <row r="31" spans="1:6" x14ac:dyDescent="0.3">
      <c r="A31" s="14"/>
      <c r="B31" s="10" t="s">
        <v>77</v>
      </c>
      <c r="C31" s="14" t="s">
        <v>12</v>
      </c>
      <c r="D31" s="14">
        <f>ROUNDUP(D28/1.2,0)</f>
        <v>34</v>
      </c>
      <c r="E31" s="14"/>
    </row>
    <row r="32" spans="1:6" x14ac:dyDescent="0.3">
      <c r="A32" s="14"/>
      <c r="B32" s="10" t="s">
        <v>78</v>
      </c>
      <c r="C32" s="14" t="s">
        <v>12</v>
      </c>
      <c r="D32" s="14">
        <f>ROUNDUP(150*D28/310,0)</f>
        <v>20</v>
      </c>
      <c r="E32" s="14"/>
    </row>
    <row r="33" spans="1:5" x14ac:dyDescent="0.3">
      <c r="A33" s="14"/>
      <c r="B33" s="10" t="s">
        <v>79</v>
      </c>
      <c r="C33" s="14" t="s">
        <v>8</v>
      </c>
      <c r="D33" s="14">
        <f>(0.43+0.15)*D28</f>
        <v>23.017299999999999</v>
      </c>
      <c r="E33" s="14"/>
    </row>
    <row r="34" spans="1:5" x14ac:dyDescent="0.3">
      <c r="A34" s="14"/>
      <c r="B34" s="10" t="s">
        <v>80</v>
      </c>
      <c r="C34" s="14" t="s">
        <v>14</v>
      </c>
      <c r="D34" s="14">
        <f>D28</f>
        <v>39.685000000000002</v>
      </c>
      <c r="E34" s="14"/>
    </row>
    <row r="35" spans="1:5" ht="31.2" x14ac:dyDescent="0.3">
      <c r="A35" s="14"/>
      <c r="B35" s="10" t="s">
        <v>81</v>
      </c>
      <c r="C35" s="14" t="s">
        <v>12</v>
      </c>
      <c r="D35" s="14">
        <f>ROUNDUP(D28/0.2,0)</f>
        <v>199</v>
      </c>
      <c r="E35" s="14" t="s">
        <v>82</v>
      </c>
    </row>
    <row r="36" spans="1:5" x14ac:dyDescent="0.3">
      <c r="A36" s="14"/>
      <c r="B36" s="10" t="s">
        <v>83</v>
      </c>
      <c r="C36" s="14" t="s">
        <v>9</v>
      </c>
      <c r="D36" s="14">
        <f>0.056*D28</f>
        <v>2.2223600000000001</v>
      </c>
      <c r="E36" s="14" t="s">
        <v>84</v>
      </c>
    </row>
    <row r="37" spans="1:5" ht="31.2" x14ac:dyDescent="0.3">
      <c r="A37" s="14"/>
      <c r="B37" s="10" t="s">
        <v>86</v>
      </c>
      <c r="C37" s="14" t="s">
        <v>12</v>
      </c>
      <c r="D37" s="14">
        <f>ROUNDUP(D28/2,0)</f>
        <v>20</v>
      </c>
      <c r="E37" s="14"/>
    </row>
    <row r="38" spans="1:5" ht="31.2" x14ac:dyDescent="0.3">
      <c r="A38" s="14"/>
      <c r="B38" s="10" t="s">
        <v>88</v>
      </c>
      <c r="C38" s="14" t="s">
        <v>12</v>
      </c>
      <c r="D38" s="14">
        <f>ROUNDUP(D28/0.2,0)</f>
        <v>199</v>
      </c>
      <c r="E38" s="14" t="s">
        <v>89</v>
      </c>
    </row>
    <row r="39" spans="1:5" x14ac:dyDescent="0.3">
      <c r="A39" s="14"/>
      <c r="B39" s="10" t="s">
        <v>90</v>
      </c>
      <c r="C39" s="14" t="s">
        <v>24</v>
      </c>
      <c r="D39" s="14">
        <f>2.42*D28/1000</f>
        <v>9.6037700000000004E-2</v>
      </c>
      <c r="E39" s="14"/>
    </row>
    <row r="40" spans="1:5" ht="31.2" x14ac:dyDescent="0.3">
      <c r="A40" s="14"/>
      <c r="B40" s="10" t="s">
        <v>91</v>
      </c>
      <c r="C40" s="14" t="s">
        <v>12</v>
      </c>
      <c r="D40" s="14">
        <f>ROUNDUP(D28/0.5,0)</f>
        <v>80</v>
      </c>
      <c r="E40" s="14" t="s">
        <v>92</v>
      </c>
    </row>
  </sheetData>
  <mergeCells count="4">
    <mergeCell ref="A1:D1"/>
    <mergeCell ref="B2:E2"/>
    <mergeCell ref="A4:E4"/>
    <mergeCell ref="A14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ВОР Ме каркас, ограждения</vt:lpstr>
      <vt:lpstr>ВОР Кровля козырьков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Водкина Александра Викторовна</dc:creator>
  <cp:lastModifiedBy>Водкина Александра Викторовна</cp:lastModifiedBy>
  <dcterms:created xsi:type="dcterms:W3CDTF">2025-07-10T11:22:03Z</dcterms:created>
  <dcterms:modified xsi:type="dcterms:W3CDTF">2025-07-24T13:15:19Z</dcterms:modified>
</cp:coreProperties>
</file>