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n.kalacheva\Desktop\"/>
    </mc:Choice>
  </mc:AlternateContent>
  <xr:revisionPtr revIDLastSave="0" documentId="13_ncr:1_{4C67C482-6545-4A00-8928-CE0541B434AF}" xr6:coauthVersionLast="47" xr6:coauthVersionMax="47" xr10:uidLastSave="{00000000-0000-0000-0000-000000000000}"/>
  <bookViews>
    <workbookView xWindow="28680" yWindow="-120" windowWidth="29040" windowHeight="15840" xr2:uid="{00000000-000D-0000-FFFF-FFFF00000000}"/>
  </bookViews>
  <sheets>
    <sheet name="Ростверки" sheetId="1" r:id="rId1"/>
    <sheet name="Фундаментные балки"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 l="1"/>
  <c r="E19" i="2"/>
  <c r="E18" i="2"/>
  <c r="E17" i="2"/>
  <c r="E11" i="2"/>
  <c r="E10" i="2"/>
  <c r="E9" i="2"/>
  <c r="E8" i="2"/>
  <c r="D13" i="2"/>
  <c r="D12" i="2"/>
  <c r="D19" i="2"/>
  <c r="E35" i="2"/>
  <c r="D35" i="2"/>
  <c r="D42" i="2"/>
  <c r="E42" i="2" s="1"/>
  <c r="E34" i="2"/>
  <c r="E33" i="2"/>
  <c r="E32" i="2"/>
  <c r="E31" i="2"/>
  <c r="E30" i="2"/>
  <c r="E29" i="2"/>
  <c r="E28" i="2"/>
  <c r="E27" i="2"/>
  <c r="E26" i="2"/>
  <c r="E25" i="2"/>
  <c r="D24" i="2"/>
  <c r="D18" i="2"/>
  <c r="D17" i="2"/>
  <c r="D16" i="2"/>
  <c r="D9" i="2"/>
  <c r="D8" i="2"/>
  <c r="D26" i="2"/>
  <c r="D25" i="2"/>
  <c r="D41" i="2"/>
  <c r="E41" i="2" s="1"/>
  <c r="D40" i="2"/>
  <c r="E40" i="2" s="1"/>
  <c r="D38" i="2"/>
  <c r="D36" i="2"/>
  <c r="D23" i="2"/>
  <c r="D43" i="2"/>
  <c r="D39" i="2"/>
  <c r="D20" i="2"/>
  <c r="D15" i="2"/>
  <c r="D7" i="2"/>
  <c r="D6" i="2"/>
  <c r="D393" i="1"/>
  <c r="D386" i="1"/>
  <c r="D367" i="1"/>
  <c r="D343" i="1"/>
  <c r="D317" i="1"/>
  <c r="D304" i="1"/>
  <c r="D291" i="1"/>
  <c r="D277" i="1"/>
  <c r="D265" i="1"/>
  <c r="D217" i="1"/>
  <c r="D210" i="1"/>
  <c r="D162" i="1"/>
  <c r="D134" i="1"/>
  <c r="D103" i="1"/>
  <c r="D90" i="1"/>
  <c r="D77" i="1"/>
  <c r="D65" i="1"/>
  <c r="D51" i="1"/>
  <c r="D13" i="1"/>
  <c r="D38" i="1"/>
  <c r="D25" i="1"/>
  <c r="D26" i="1"/>
  <c r="D255" i="1"/>
  <c r="D254" i="1"/>
  <c r="D253" i="1"/>
  <c r="D247" i="1"/>
  <c r="D246" i="1"/>
  <c r="D243" i="1"/>
  <c r="D244" i="1"/>
  <c r="D240" i="1"/>
  <c r="D239" i="1"/>
  <c r="D237" i="1"/>
  <c r="D231" i="1"/>
  <c r="D230" i="1"/>
  <c r="D227" i="1"/>
  <c r="D228" i="1"/>
  <c r="D223" i="1"/>
  <c r="D224" i="1"/>
  <c r="D219" i="1"/>
  <c r="D218" i="1"/>
  <c r="D220" i="1"/>
  <c r="D221" i="1"/>
  <c r="D211" i="1"/>
  <c r="D199" i="1"/>
  <c r="D200" i="1"/>
  <c r="D182" i="1"/>
  <c r="D197" i="1"/>
  <c r="D188" i="1"/>
  <c r="D181" i="1"/>
  <c r="D196" i="1"/>
  <c r="D195" i="1"/>
  <c r="D194" i="1"/>
  <c r="D397" i="1"/>
  <c r="D396" i="1"/>
  <c r="D395" i="1"/>
  <c r="D394" i="1"/>
  <c r="D387" i="1"/>
  <c r="D380" i="1"/>
  <c r="D379" i="1"/>
  <c r="D375" i="1"/>
  <c r="D374" i="1"/>
  <c r="D376" i="1"/>
  <c r="D377" i="1"/>
  <c r="D368" i="1"/>
  <c r="D361" i="1"/>
  <c r="D360" i="1"/>
  <c r="D357" i="1"/>
  <c r="D356" i="1"/>
  <c r="D358" i="1"/>
  <c r="D349" i="1"/>
  <c r="D348" i="1"/>
  <c r="D178" i="1"/>
  <c r="D177" i="1"/>
  <c r="D179" i="1"/>
  <c r="D169" i="1"/>
  <c r="D168" i="1"/>
  <c r="D345" i="1"/>
  <c r="D344" i="1"/>
  <c r="D346" i="1"/>
  <c r="D336" i="1"/>
  <c r="D335" i="1"/>
  <c r="D333" i="1"/>
  <c r="D323" i="1"/>
  <c r="D322" i="1"/>
  <c r="D332" i="1"/>
  <c r="D331" i="1"/>
  <c r="D318" i="1" l="1"/>
  <c r="D319" i="1"/>
  <c r="D320" i="1"/>
  <c r="D310" i="1"/>
  <c r="D309" i="1"/>
  <c r="D307" i="1"/>
  <c r="D297" i="1"/>
  <c r="D296" i="1"/>
  <c r="D305" i="1"/>
  <c r="D306" i="1"/>
  <c r="D164" i="1"/>
  <c r="D163" i="1"/>
  <c r="D165" i="1"/>
  <c r="D166" i="1"/>
  <c r="D157" i="1"/>
  <c r="D156" i="1"/>
  <c r="D154" i="1"/>
  <c r="D153" i="1"/>
  <c r="D152" i="1"/>
  <c r="D151" i="1"/>
  <c r="D144" i="1"/>
  <c r="D143" i="1"/>
  <c r="D292" i="1"/>
  <c r="D293" i="1"/>
  <c r="D294" i="1"/>
  <c r="D283" i="1"/>
  <c r="D282" i="1"/>
  <c r="D280" i="1"/>
  <c r="D271" i="1"/>
  <c r="D270" i="1"/>
  <c r="D279" i="1"/>
  <c r="D278" i="1"/>
  <c r="D267" i="1"/>
  <c r="D266" i="1"/>
  <c r="D268" i="1"/>
  <c r="D259" i="1"/>
  <c r="D258" i="1"/>
  <c r="D139" i="1" l="1"/>
  <c r="D140" i="1"/>
  <c r="D138" i="1"/>
  <c r="D141" i="1"/>
  <c r="D135" i="1"/>
  <c r="D125" i="1"/>
  <c r="D124" i="1"/>
  <c r="D121" i="1"/>
  <c r="D120" i="1"/>
  <c r="D122" i="1"/>
  <c r="D119" i="1"/>
  <c r="D111" i="1"/>
  <c r="D110" i="1"/>
  <c r="D108" i="1"/>
  <c r="D106" i="1"/>
  <c r="D107" i="1"/>
  <c r="D104" i="1"/>
  <c r="D96" i="1"/>
  <c r="D95" i="1"/>
  <c r="D93" i="1"/>
  <c r="D92" i="1"/>
  <c r="D91" i="1"/>
  <c r="D82" i="1"/>
  <c r="D83" i="1"/>
  <c r="D78" i="1"/>
  <c r="D79" i="1"/>
  <c r="D80" i="1"/>
  <c r="D71" i="1"/>
  <c r="D70" i="1"/>
  <c r="D68" i="1"/>
  <c r="D54" i="1"/>
  <c r="D42" i="1"/>
  <c r="D29" i="1"/>
  <c r="D16" i="1"/>
  <c r="D57" i="1"/>
  <c r="D56" i="1"/>
  <c r="D67" i="1"/>
  <c r="D66" i="1"/>
  <c r="D45" i="1" l="1"/>
  <c r="D44" i="1"/>
  <c r="D53" i="1"/>
  <c r="D52" i="1"/>
  <c r="D41" i="1"/>
  <c r="D40" i="1"/>
  <c r="D39" i="1"/>
  <c r="D32" i="1"/>
  <c r="D31" i="1"/>
  <c r="D27" i="1"/>
  <c r="D14" i="1"/>
  <c r="D28" i="1"/>
  <c r="D19" i="1"/>
  <c r="D18" i="1"/>
  <c r="D7" i="1"/>
  <c r="D6" i="1"/>
</calcChain>
</file>

<file path=xl/sharedStrings.xml><?xml version="1.0" encoding="utf-8"?>
<sst xmlns="http://schemas.openxmlformats.org/spreadsheetml/2006/main" count="1011" uniqueCount="198">
  <si>
    <t>Ведомость объемов работ №1 от 17.09.2025</t>
  </si>
  <si>
    <t>Объект: Гараж г. Кемерово</t>
  </si>
  <si>
    <t>№ п/п</t>
  </si>
  <si>
    <t>Наименование работы</t>
  </si>
  <si>
    <t>Ед. изм</t>
  </si>
  <si>
    <t>Объем</t>
  </si>
  <si>
    <t>Примечение</t>
  </si>
  <si>
    <t>Монолитные ростверки блок А</t>
  </si>
  <si>
    <t>Бетонная подготовка</t>
  </si>
  <si>
    <t>м3</t>
  </si>
  <si>
    <t>Бетон В7,5</t>
  </si>
  <si>
    <t>Устройстов монолитного ростверка</t>
  </si>
  <si>
    <t>Установка швеллера</t>
  </si>
  <si>
    <t>м.п</t>
  </si>
  <si>
    <t>шт</t>
  </si>
  <si>
    <t>Установка фундаментных болтов</t>
  </si>
  <si>
    <t>кг</t>
  </si>
  <si>
    <t>Болт 2.1.М30х1000 09Г2С6 4 шт</t>
  </si>
  <si>
    <t>Ростверк Ф1 10 шт</t>
  </si>
  <si>
    <t>Ростверк Ф2 1 шт</t>
  </si>
  <si>
    <t>Швеллер 14У 2шт 580мм</t>
  </si>
  <si>
    <t>Установка двутавра</t>
  </si>
  <si>
    <t>Двутавр 15Б1 1шт 580мм</t>
  </si>
  <si>
    <t>Швеллер 14У 1шт 580мм</t>
  </si>
  <si>
    <t>Ростверк Ф2.1 1 шт</t>
  </si>
  <si>
    <t>Ростверк Ф1.1 1 шт</t>
  </si>
  <si>
    <t>Ростверк Ф1.2 1 шт</t>
  </si>
  <si>
    <t xml:space="preserve">Гидроизоляция </t>
  </si>
  <si>
    <t>м2</t>
  </si>
  <si>
    <t>Битумной мастикой в 2 слоя</t>
  </si>
  <si>
    <t>Ростверк Ф1.3 1 шт</t>
  </si>
  <si>
    <t>Ростверк Ф1.4 1 шт</t>
  </si>
  <si>
    <t>Ростверк Ф3 1 шт</t>
  </si>
  <si>
    <r>
      <t xml:space="preserve">Арматура </t>
    </r>
    <r>
      <rPr>
        <sz val="11"/>
        <color theme="1"/>
        <rFont val="Times New Roman"/>
        <family val="1"/>
        <charset val="204"/>
      </rPr>
      <t>ᴓ</t>
    </r>
    <r>
      <rPr>
        <sz val="11"/>
        <color theme="1"/>
        <rFont val="Calibri"/>
        <family val="2"/>
      </rPr>
      <t xml:space="preserve">12 А500С 3кг
</t>
    </r>
    <r>
      <rPr>
        <sz val="11"/>
        <color theme="1"/>
        <rFont val="Calibri"/>
        <family val="2"/>
        <scheme val="minor"/>
      </rPr>
      <t>Каркас КР15 3шт (15,36 кг) 2 загибают</t>
    </r>
  </si>
  <si>
    <t>Ростверк Ф3.1 1 шт</t>
  </si>
  <si>
    <t>Бетон В25 F150 W6
Каркас КР1 2шт (8,52 кг)
Каркас КР2 2шт (6,82 кг)
Каркас КР13 1шт (4,14 кг)
Каркас КР17 1шт (11,39 кг)
Каркас КР18 3шт (11,34 кг)
Сетка С19 1 шт (26,72 кг)
Сетка С24 1шт (22,31 кг)</t>
  </si>
  <si>
    <t>Ростверк Ф4 1 шт</t>
  </si>
  <si>
    <r>
      <t xml:space="preserve">Арматура </t>
    </r>
    <r>
      <rPr>
        <sz val="11"/>
        <color theme="1"/>
        <rFont val="Times New Roman"/>
        <family val="1"/>
        <charset val="204"/>
      </rPr>
      <t>ᴓ</t>
    </r>
    <r>
      <rPr>
        <sz val="11"/>
        <color theme="1"/>
        <rFont val="Calibri"/>
        <family val="2"/>
      </rPr>
      <t xml:space="preserve">12 А500С 6кг
Арматура ᴓ10 А500С 14,52кг
</t>
    </r>
    <r>
      <rPr>
        <sz val="11"/>
        <color theme="1"/>
        <rFont val="Calibri"/>
        <family val="2"/>
        <scheme val="minor"/>
      </rPr>
      <t>Каркас КР15 6шт (30,72 кг) 4 загибают</t>
    </r>
  </si>
  <si>
    <t>Болт 2.1.М24х900 09Г2С6 4 шт</t>
  </si>
  <si>
    <t>Болт 2.1.М30х1000 09Г2С6 8 шт</t>
  </si>
  <si>
    <t>Ростверк Ф13 10 шт</t>
  </si>
  <si>
    <t>Монолитные ростверки блок Б</t>
  </si>
  <si>
    <t>Ростверк Ф1.7 4 шт</t>
  </si>
  <si>
    <t>Ростверк Ф1.8 2 шт</t>
  </si>
  <si>
    <t>Бетон В25 F150 W6
Арматура ᴓ12 А500С 6кг
Каркас КР1 2шт (8,52 кг)
Каркас КР2 2шт (6,82 кг)
Каркас КР21 1шт (17,47 кг)
Каркас КР22 1шт (4,87 кг)
Сетка С29 1шт (24,7 кг)
Сетка С30 1шт (30,9 кг)</t>
  </si>
  <si>
    <t>КР1</t>
  </si>
  <si>
    <t>КР2</t>
  </si>
  <si>
    <t>КР3</t>
  </si>
  <si>
    <t>С1</t>
  </si>
  <si>
    <t>С2</t>
  </si>
  <si>
    <t>С14</t>
  </si>
  <si>
    <t>С17</t>
  </si>
  <si>
    <t>КР4</t>
  </si>
  <si>
    <t>С3</t>
  </si>
  <si>
    <t>С4</t>
  </si>
  <si>
    <t>КР7</t>
  </si>
  <si>
    <t>КР8</t>
  </si>
  <si>
    <t>КР9</t>
  </si>
  <si>
    <t>С9</t>
  </si>
  <si>
    <t>С10</t>
  </si>
  <si>
    <t>КР5</t>
  </si>
  <si>
    <t>С5</t>
  </si>
  <si>
    <t>С6</t>
  </si>
  <si>
    <t>КР6</t>
  </si>
  <si>
    <t>С7</t>
  </si>
  <si>
    <t>С8</t>
  </si>
  <si>
    <t>КР13</t>
  </si>
  <si>
    <t>КР14</t>
  </si>
  <si>
    <t>С18</t>
  </si>
  <si>
    <t>С19</t>
  </si>
  <si>
    <t>КР17</t>
  </si>
  <si>
    <t>КР18</t>
  </si>
  <si>
    <t>С24</t>
  </si>
  <si>
    <t>КР21</t>
  </si>
  <si>
    <t>КР22</t>
  </si>
  <si>
    <t>С29</t>
  </si>
  <si>
    <t>С30</t>
  </si>
  <si>
    <t>С11</t>
  </si>
  <si>
    <t>КР10</t>
  </si>
  <si>
    <t>С12</t>
  </si>
  <si>
    <t>С13</t>
  </si>
  <si>
    <t>КР11</t>
  </si>
  <si>
    <t>КР12</t>
  </si>
  <si>
    <t>С15</t>
  </si>
  <si>
    <t>С16</t>
  </si>
  <si>
    <t>Ростверк Ф8 1 шт</t>
  </si>
  <si>
    <t>Устройстов ленточного ростверка до 1000</t>
  </si>
  <si>
    <t>Устройстов ленточного ростверка более 1000</t>
  </si>
  <si>
    <t>КР37</t>
  </si>
  <si>
    <t>КР38</t>
  </si>
  <si>
    <t>С35</t>
  </si>
  <si>
    <t>С36</t>
  </si>
  <si>
    <t>Ростверк Ф7 5 шт</t>
  </si>
  <si>
    <t>Ростверк Ф1.6 3 шт</t>
  </si>
  <si>
    <t>С20</t>
  </si>
  <si>
    <t>С21</t>
  </si>
  <si>
    <t>Ростверк Ф1.5 2 шт</t>
  </si>
  <si>
    <t>КР16</t>
  </si>
  <si>
    <t>С22</t>
  </si>
  <si>
    <t>С23</t>
  </si>
  <si>
    <t>Ростверк Ф1.9 1 шт</t>
  </si>
  <si>
    <t>С26</t>
  </si>
  <si>
    <t>С25</t>
  </si>
  <si>
    <t>КР19</t>
  </si>
  <si>
    <t>Ростверк Ф1.10 1 шт</t>
  </si>
  <si>
    <t>КР20</t>
  </si>
  <si>
    <t>С27</t>
  </si>
  <si>
    <t>С28</t>
  </si>
  <si>
    <t>Ростверк Ф1.11 1 шт</t>
  </si>
  <si>
    <t>С33</t>
  </si>
  <si>
    <t>С34</t>
  </si>
  <si>
    <t>Ростверк Ф12 1 шт</t>
  </si>
  <si>
    <r>
      <t xml:space="preserve">Бетон В25 F150 W6
Каркас КР1 2шт (8,82 кг)
Каркас КР2 1шт (3,41 кг)
Каркас КР3 1шт (6,66 кг)
Каркас КР16 2шт (9,74кг)
Сетка С22  ᴓ12 1 шт (24,51 кг)
Сетка С23  </t>
    </r>
    <r>
      <rPr>
        <sz val="11"/>
        <color theme="1"/>
        <rFont val="Times New Roman"/>
        <family val="1"/>
        <charset val="204"/>
      </rPr>
      <t>ᴓ</t>
    </r>
    <r>
      <rPr>
        <sz val="11"/>
        <color theme="1"/>
        <rFont val="Calibri"/>
        <family val="2"/>
      </rPr>
      <t>14</t>
    </r>
    <r>
      <rPr>
        <sz val="11"/>
        <color theme="1"/>
        <rFont val="Calibri"/>
        <family val="2"/>
        <scheme val="minor"/>
      </rPr>
      <t xml:space="preserve"> 1шт (31,44 кг)</t>
    </r>
  </si>
  <si>
    <t>Ростверк Ф14  4 шт</t>
  </si>
  <si>
    <t>Ростверк Ф14.1  2 шт</t>
  </si>
  <si>
    <t>Болт 2.1.М24х900 09Г2С6 8 шт</t>
  </si>
  <si>
    <t>КР33</t>
  </si>
  <si>
    <t>КР34</t>
  </si>
  <si>
    <t>АР10</t>
  </si>
  <si>
    <t>АР14</t>
  </si>
  <si>
    <t xml:space="preserve">АР22 </t>
  </si>
  <si>
    <r>
      <t xml:space="preserve">Арматура </t>
    </r>
    <r>
      <rPr>
        <sz val="11"/>
        <color theme="1"/>
        <rFont val="Times New Roman"/>
        <family val="1"/>
        <charset val="204"/>
      </rPr>
      <t>ᴓ</t>
    </r>
    <r>
      <rPr>
        <sz val="11"/>
        <color theme="1"/>
        <rFont val="Calibri"/>
        <family val="2"/>
      </rPr>
      <t xml:space="preserve">14 А500С 7,84кг
Арматура ᴓ10 А500С 10,12кг
Элемент гнутый Арматура ᴓ22 А500С 6,56кг
</t>
    </r>
    <r>
      <rPr>
        <sz val="11"/>
        <color theme="1"/>
        <rFont val="Calibri"/>
        <family val="2"/>
        <scheme val="minor"/>
      </rPr>
      <t>Каркас КР33 2шт (78,26 кг) 
Каркас КР34 1шт ( 25,04 кг)</t>
    </r>
  </si>
  <si>
    <t>Ростверк Ф5  1 шт</t>
  </si>
  <si>
    <t>КР35</t>
  </si>
  <si>
    <t>КР36</t>
  </si>
  <si>
    <t>Бетон В25 F150 W6
Арматура ᴓ12 А500С 6кг
Каркас КР1 4шт (17,04 кг)
Каркас КР2 6шт (20,46 кг)
Каркас КР3 2шт (13,32 кг)
Сетка С1 2шт (40,02 кг)
Сетка С2 2шт (49,34 кг)</t>
  </si>
  <si>
    <r>
      <t xml:space="preserve">Арматура </t>
    </r>
    <r>
      <rPr>
        <sz val="11"/>
        <color theme="1"/>
        <rFont val="Times New Roman"/>
        <family val="1"/>
        <charset val="204"/>
      </rPr>
      <t>ᴓ</t>
    </r>
    <r>
      <rPr>
        <sz val="11"/>
        <color theme="1"/>
        <rFont val="Calibri"/>
        <family val="2"/>
      </rPr>
      <t xml:space="preserve">14 А500С 7,76кг
Арматура ᴓ10 А500С 14,52кг
Элемент гнутый Арматура ᴓ22 А500С 6,56кг
</t>
    </r>
    <r>
      <rPr>
        <sz val="11"/>
        <color theme="1"/>
        <rFont val="Calibri"/>
        <family val="2"/>
        <scheme val="minor"/>
      </rPr>
      <t>Каркас КР35 2шт (103,08кг) 
Каркас КР36 1шт ( 72,36 кг)</t>
    </r>
  </si>
  <si>
    <t>Ростверк Ф6  1 шт</t>
  </si>
  <si>
    <t>КР39</t>
  </si>
  <si>
    <t>КР40</t>
  </si>
  <si>
    <t>С37</t>
  </si>
  <si>
    <t>С38</t>
  </si>
  <si>
    <t>Установка закладной детали МН118-6</t>
  </si>
  <si>
    <t>Серия 1.400-15 В1.130-11 (вес одной 3.9 кг)</t>
  </si>
  <si>
    <t>КР41</t>
  </si>
  <si>
    <t>Ростверк Ф9 2 шт</t>
  </si>
  <si>
    <t>Ростверк Ф10 3 шт</t>
  </si>
  <si>
    <t>Ростверк Ф11 1 шт</t>
  </si>
  <si>
    <t xml:space="preserve">Устройстов монолитного ростверка </t>
  </si>
  <si>
    <t>КР43</t>
  </si>
  <si>
    <t>КР44</t>
  </si>
  <si>
    <t>С39</t>
  </si>
  <si>
    <t>С40</t>
  </si>
  <si>
    <t>Каркас КР43 2 шт (5,4 кг)
Каркас КР44 2 шт (5,4кг)
Сетка С39 1шт (5 кг)
Сетка С40 1шт (6,8 кг)</t>
  </si>
  <si>
    <t>Арматура ᴓ10 А500С 7кг
Каркас КР41 1 шт (38,4 кг)</t>
  </si>
  <si>
    <t>КР42</t>
  </si>
  <si>
    <t>Арматура ᴓ10 А500С 7,7кг
Каркас КР42 1 шт (41,92 кг)</t>
  </si>
  <si>
    <t>Ростверк Ф1.12 1 шт</t>
  </si>
  <si>
    <t>С32</t>
  </si>
  <si>
    <t>Бетон В25 F150 W6
Каркас КР1 2шт (8,52 кг)
Каркас КР2 3шт (10,23 кг)
Каркас КР3 1шт (6,66 кг)
Сетка С2 1шт (26,17 кг)
Сетка С32 1 шт (32,25 кг)</t>
  </si>
  <si>
    <t>АР12</t>
  </si>
  <si>
    <t>Бетон В25 F150 W6
Каркас КР1 2шт (8,52 кг)
Каркас КР2 3шт (10,23 кг)
Каркас КР3 1шт (6,66 кг)
Сетка С14  ᴓ12 1шт (19,84кг)
Сетка С2  ᴓ14 1 шт (24,67кг)
Арматура Арматура ᴓ12 А500С 18кг</t>
  </si>
  <si>
    <t>Бетон В25 F150 W6
Каркас КР1 2шт (8,52 кг)
Каркас КР2 3шт (10,23 кг)
Каркас КР3 1шт (6,66 кг)
Сетка С17 1шт (19,84кг)
Сетка С2 1 шт (24,67кг)
Арматура Арматура ᴓ12 А500С 18кг</t>
  </si>
  <si>
    <t>Бетон В25 F150 W6
Каркас КР1 2шт (8,52 кг)
Каркас КР2 3шт (10,23 кг)
Каркас КР3 1шт (6,66 кг)
Сетка С1  ᴓ12 1шт (20,01кг)
Сетка С2  ᴓ14 1 шт (24,67кг)
Арматура Арматура ᴓ12 А500С 81кг</t>
  </si>
  <si>
    <t>Бетон В25 F150 W6
Каркас КР2 3шт (10,23 кг)
Каркас КР3 1шт (6,66 кг)
Каркас КР4 2шт (8,82 кг)
Сетка С3 1шт (20,64кг)
Сетка С4 1 шт (25,29кг)
Арматура Арматура ᴓ12 А500С 18кг</t>
  </si>
  <si>
    <t>Бетон В25 F150 W6
Каркас КР2 1шт (3,41 кг)
Каркас КР3 1шт (6,66 кг)
Каркас КР7 1шт (4,47 кг)
Каркас КР8 1шт (5,31 кг)
Каркас КР9 1шт (5,83 кг)
Сетка С9 1шт (24,03кг)
Сетка С10 1 шт (29,8кг)
Арматура Арматура ᴓ12 А500С 18кг</t>
  </si>
  <si>
    <t>Бетон В25 F150 W6
Каркас КР2 3шт (10,23 кг)
Каркас КР3 1шт (6,66 кг)
Каркас КР5 1шт (5,11 кг)
Сетка С5 1шт (22,43 кг)
Сетка С6 1 шт (28,18 кг)
Арматура Арматура ᴓ12 А500С 9кг</t>
  </si>
  <si>
    <t>Бетон В25 F150 W6
Каркас КР1 2шт (8,52 кг)
Каркас КР2 1шт (3,41 кг)
Каркас КР3 1шт (6,66 кг)
Каркас КР6 2шт (9,98 кг)
Сетка С7 1шт (26,17 кг)
Сетка С8 1 шт (32,25 кг)
Арматура Арматура ᴓ12 А500С 18кг</t>
  </si>
  <si>
    <t>Бетон В25 F150 W6
Каркас КР1 2шт (8,52 кг)
Каркас КР2 2шт (6,82 кг)
Каркас КР13 1шт (4,14 кг)
Каркас КР14 1шт (12,85 кг)
Сетка С18 1шт (22,31 кг)
Сетка С19 1 шт (26,72 кг)
Арматура Арматура ᴓ12 А500С 9кг</t>
  </si>
  <si>
    <t>КР15</t>
  </si>
  <si>
    <t>Бетон В25 F150 W6
Арматура ᴓ14 А500С 7,76кг
Деталь гнутая ᴓ22 А500С 13,12кг
Каркас КР1 4шт (17,04 кг)
Каркас КР2 4шт (13,64 кг)
Каркас КР13 2шт (8,28 кг)
Каркас КР14 2шт (25,7 кг)
Каркас КР18 3шт (11,34 кг)
Сетка С19 2 шт (53,44кг)
Сетка С24 1шт (22,31 кг)
Сетка С18 1шт (22,31 кг)
Арматура ᴓ12 А500С 18кг</t>
  </si>
  <si>
    <r>
      <t xml:space="preserve">Арматура </t>
    </r>
    <r>
      <rPr>
        <sz val="11"/>
        <color theme="1"/>
        <rFont val="Times New Roman"/>
        <family val="1"/>
        <charset val="204"/>
      </rPr>
      <t>ᴓ</t>
    </r>
    <r>
      <rPr>
        <sz val="11"/>
        <color theme="1"/>
        <rFont val="Calibri"/>
        <family val="2"/>
      </rPr>
      <t xml:space="preserve">12 А500С 6кг+24кг
Арматура ᴓ10 А500С 14,52кг
</t>
    </r>
    <r>
      <rPr>
        <sz val="11"/>
        <color theme="1"/>
        <rFont val="Calibri"/>
        <family val="2"/>
        <scheme val="minor"/>
      </rPr>
      <t>Каркас КР15 6шт (30,72 кг) 4 загибают</t>
    </r>
  </si>
  <si>
    <t>Каркас КР37 2 шт (8,82 кг)
Каркас КР38 2 шт (8,23кг)
Сетка С35 1шт (48,42 кг)
Сетка С36 1шт (61,54 кг)
Арматура ᴓ12 А500С 18кг</t>
  </si>
  <si>
    <t>Каркас КР1 1 шт (4,26 кг)
Каркас КР2 3 шт (10,23кг)
Каркас КР4 1 шт (4,41 кг)
Каркас КР12 1 шт (7,3кг)
Сетка С33 1шт (20,71 кг)
Сетка С34 1шт (26,43 кг)
Арматура ᴓ12 А500С 9кг</t>
  </si>
  <si>
    <t>Бетон В25 F150 W6
Арматура ᴓ12 А500С 6кг
Каркас КР1 5шт (21,3 кг)
Каркас КР2 7шт (23,87 кг)
Каркас КР3 2шт (13,32 кг)
Каркас КР39 1шт (7,2 кг)
Каркас КР40 1шт (5,59 кг)
Сетка С1 2шт (40,02 кг)
Сетка С2 2шт (49,34 кг)
Сетка С37 2шт (52,48 кг)
Сетка С38 2шт (66,86 кг)
Арматура ᴓ12 А500С 30кг</t>
  </si>
  <si>
    <r>
      <t xml:space="preserve">Арматура </t>
    </r>
    <r>
      <rPr>
        <sz val="11"/>
        <color theme="1"/>
        <rFont val="Times New Roman"/>
        <family val="1"/>
        <charset val="204"/>
      </rPr>
      <t>ᴓ</t>
    </r>
    <r>
      <rPr>
        <sz val="11"/>
        <color theme="1"/>
        <rFont val="Calibri"/>
        <family val="2"/>
      </rPr>
      <t xml:space="preserve">14 А500С 9,24кг
Арматура ᴓ10 А500С 10,56кг
Элемент гнутый Арматура ᴓ22 А500С 6,56кг
</t>
    </r>
    <r>
      <rPr>
        <sz val="11"/>
        <color theme="1"/>
        <rFont val="Calibri"/>
        <family val="2"/>
        <scheme val="minor"/>
      </rPr>
      <t>Каркас КР35 2шт (103,08кг) 
Каркас КР36 1шт ( 72,36 кг)
Арматура ᴓ12 А500С 9кг</t>
    </r>
  </si>
  <si>
    <t>Бетон В25 F150 W6
Каркас КР1 2шт (8,52 кг)
Каркас КР2 3шт (10,23 кг)
Каркас КР3 1шт (6,66 кг)
Сетка С11  ᴓ12 1 шт (18,34 кг)
Сетка С2 1шт (24,67 кг)
Арматура ᴓ12 А500С 49кг</t>
  </si>
  <si>
    <t>Бетон В25 F150 W6
Каркас КР10 2шт (8,82 кг)
Каркас КР2 3шт (10,23 кг)
Каркас КР3 1шт (6,66 кг)
Сетка С12  ᴓ12 1 шт (19,23 кг)
Сетка С13  ᴓ14 1шт (26,32 кг)
Арматура ᴓ12 А500С 68кг</t>
  </si>
  <si>
    <r>
      <t xml:space="preserve">Бетон В25 F150 W6
Каркас КР10 1шт (4,41 кг)
Каркас КР2 1шт (3,41 кг)
Каркас КР7 1шт (4,47 кг)
Каркас КР11 2шт (9,92 кг)
Каркас КР12 1шт (7,3 кг)
Сетка С15  ᴓ12 1 шт (26,67 кг)
Сетка С16  </t>
    </r>
    <r>
      <rPr>
        <sz val="11"/>
        <color theme="1"/>
        <rFont val="Times New Roman"/>
        <family val="1"/>
        <charset val="204"/>
      </rPr>
      <t>ᴓ</t>
    </r>
    <r>
      <rPr>
        <sz val="11"/>
        <color theme="1"/>
        <rFont val="Calibri"/>
        <family val="2"/>
      </rPr>
      <t>14</t>
    </r>
    <r>
      <rPr>
        <sz val="11"/>
        <color theme="1"/>
        <rFont val="Calibri"/>
        <family val="2"/>
        <scheme val="minor"/>
      </rPr>
      <t xml:space="preserve"> 1шт (36,27 кг)
Арматура ᴓ12 А500С 44кг</t>
    </r>
  </si>
  <si>
    <r>
      <t xml:space="preserve">Бетон В25 F150 W6
Каркас КР10 2шт (8,82 кг)
Каркас КР2 1шт (3,41 кг)
Каркас КР3 1шт (6,66 кг)
Каркас КР11 2шт (9,92 кг)
Сетка С20  ᴓ12 1 шт (27,45 кг)
Сетка С21  </t>
    </r>
    <r>
      <rPr>
        <sz val="11"/>
        <color theme="1"/>
        <rFont val="Times New Roman"/>
        <family val="1"/>
        <charset val="204"/>
      </rPr>
      <t>ᴓ</t>
    </r>
    <r>
      <rPr>
        <sz val="11"/>
        <color theme="1"/>
        <rFont val="Calibri"/>
        <family val="2"/>
      </rPr>
      <t>14</t>
    </r>
    <r>
      <rPr>
        <sz val="11"/>
        <color theme="1"/>
        <rFont val="Calibri"/>
        <family val="2"/>
        <scheme val="minor"/>
      </rPr>
      <t xml:space="preserve"> 1шт (33,7 кг)
Арматура ᴓ12 А500С 54кг</t>
    </r>
  </si>
  <si>
    <r>
      <t xml:space="preserve">Бетон В25 F150 W6
Каркас КР1 2шт (8,52 кг)
Каркас КР2 1шт (3,41 кг)
Каркас КР3 1шт (6,66 кг)
Каркас КР16 2шт (9,74 кг)
Сетка С22  ᴓ12 1 шт (24,51 кг)
Сетка С23  </t>
    </r>
    <r>
      <rPr>
        <sz val="11"/>
        <color theme="1"/>
        <rFont val="Times New Roman"/>
        <family val="1"/>
        <charset val="204"/>
      </rPr>
      <t>ᴓ</t>
    </r>
    <r>
      <rPr>
        <sz val="11"/>
        <color theme="1"/>
        <rFont val="Calibri"/>
        <family val="2"/>
      </rPr>
      <t>14</t>
    </r>
    <r>
      <rPr>
        <sz val="11"/>
        <color theme="1"/>
        <rFont val="Calibri"/>
        <family val="2"/>
        <scheme val="minor"/>
      </rPr>
      <t xml:space="preserve"> 1шт (31,44 кг)
Арматура ᴓ12 А500С 41кг</t>
    </r>
  </si>
  <si>
    <r>
      <t xml:space="preserve">Бетон В25 F150 W6
Каркас КР10 2шт (8,82 кг)
Каркас КР2 1шт (3,41 кг)
Каркас КР3 1шт (6,66 кг)
Каркас КР19 2шт (12,9 кг)
Сетка С25  ᴓ12 1 шт (29,09 кг)
Сетка С26  </t>
    </r>
    <r>
      <rPr>
        <sz val="11"/>
        <color theme="1"/>
        <rFont val="Times New Roman"/>
        <family val="1"/>
        <charset val="204"/>
      </rPr>
      <t>ᴓ</t>
    </r>
    <r>
      <rPr>
        <sz val="11"/>
        <color theme="1"/>
        <rFont val="Calibri"/>
        <family val="2"/>
      </rPr>
      <t>14</t>
    </r>
    <r>
      <rPr>
        <sz val="11"/>
        <color theme="1"/>
        <rFont val="Calibri"/>
        <family val="2"/>
        <scheme val="minor"/>
      </rPr>
      <t xml:space="preserve"> 1шт (40,58 кг)
Арматура ᴓ12 А500С 9кг</t>
    </r>
  </si>
  <si>
    <r>
      <t xml:space="preserve">Бетон В25 F150 W6
Каркас КР10 2шт (8,82 кг)
Каркас КР2 1шт (3,41 кг)
Каркас КР3 1шт (6,66 кг)
Каркас КР20 2шт (7,06кг)
Сетка С27  ᴓ12 1 шт (20,23 кг)
Сетка С28  </t>
    </r>
    <r>
      <rPr>
        <sz val="11"/>
        <color theme="1"/>
        <rFont val="Times New Roman"/>
        <family val="1"/>
        <charset val="204"/>
      </rPr>
      <t>ᴓ</t>
    </r>
    <r>
      <rPr>
        <sz val="11"/>
        <color theme="1"/>
        <rFont val="Calibri"/>
        <family val="2"/>
      </rPr>
      <t>14</t>
    </r>
    <r>
      <rPr>
        <sz val="11"/>
        <color theme="1"/>
        <rFont val="Calibri"/>
        <family val="2"/>
        <scheme val="minor"/>
      </rPr>
      <t xml:space="preserve"> 1шт (28,05 кг)
Арматура ᴓ12 А500С 17кг</t>
    </r>
  </si>
  <si>
    <t>Бетон В25 F150 W6
Арматура ᴓ12 А500С 6кг
Каркас КР1 4шт (17,04 кг)
Каркас КР2 6шт (20,46 кг)
Каркас КР3 2шт (13,32 кг)
Сетка С11 2шт (36,68 кг)
Сетка С2 2шт (49,34 кг)
Арматура ᴓ12 А500С 17кг</t>
  </si>
  <si>
    <t>Бетон В25 F150 W6
Арматура ᴓ12 А500С 6кг
Каркас КР1 4шт (17,04 кг)
Каркас КР2 6шт (20,46 кг)
Каркас КР3 2шт (13,32 кг)
Сетка С11 2шт (36,68 кг)
Сетка С2 2шт (49,34 кг)
Арматура ᴓ12 А500С 77кг</t>
  </si>
  <si>
    <r>
      <t xml:space="preserve">Арматура </t>
    </r>
    <r>
      <rPr>
        <sz val="11"/>
        <color theme="1"/>
        <rFont val="Times New Roman"/>
        <family val="1"/>
        <charset val="204"/>
      </rPr>
      <t>ᴓ</t>
    </r>
    <r>
      <rPr>
        <sz val="11"/>
        <color theme="1"/>
        <rFont val="Calibri"/>
        <family val="2"/>
      </rPr>
      <t xml:space="preserve">14 А500С 7,84кг
Арматура ᴓ10 А500С 10,12кг
Элемент гнутый Арматура ᴓ22 А500С 6,56кг
</t>
    </r>
    <r>
      <rPr>
        <sz val="11"/>
        <color theme="1"/>
        <rFont val="Calibri"/>
        <family val="2"/>
        <scheme val="minor"/>
      </rPr>
      <t>Каркас КР33 2шт (78,26 кг) 
Каркас КР34 1шт ( 25,04 кг)
Арматура ᴓ12 А500С 36кг</t>
    </r>
  </si>
  <si>
    <t>Фундаментные балки блок А</t>
  </si>
  <si>
    <t>Балка Фб1</t>
  </si>
  <si>
    <t>Бетон В7.5</t>
  </si>
  <si>
    <t>Устройство фундаментных балок</t>
  </si>
  <si>
    <t>Бетон В20 F150 W6</t>
  </si>
  <si>
    <t>КР26</t>
  </si>
  <si>
    <t>КР26.1</t>
  </si>
  <si>
    <r>
      <t xml:space="preserve">Арматура </t>
    </r>
    <r>
      <rPr>
        <sz val="11"/>
        <color theme="1"/>
        <rFont val="Times New Roman"/>
        <family val="1"/>
        <charset val="204"/>
      </rPr>
      <t>ᴓ</t>
    </r>
    <r>
      <rPr>
        <sz val="11"/>
        <color theme="1"/>
        <rFont val="Calibri"/>
        <family val="2"/>
      </rPr>
      <t>10 А500С 370мм</t>
    </r>
  </si>
  <si>
    <t>КР28</t>
  </si>
  <si>
    <t>КР28.1</t>
  </si>
  <si>
    <t>КР27</t>
  </si>
  <si>
    <t>КР27.1</t>
  </si>
  <si>
    <t>Балка Фб2</t>
  </si>
  <si>
    <t>Фундаментные балки блок Б</t>
  </si>
  <si>
    <t>КР29</t>
  </si>
  <si>
    <t>КР29.1</t>
  </si>
  <si>
    <t>КР30</t>
  </si>
  <si>
    <t>КР30.1</t>
  </si>
  <si>
    <t>КР31</t>
  </si>
  <si>
    <t>КР31.1</t>
  </si>
  <si>
    <t>КР32</t>
  </si>
  <si>
    <t>КР32.1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</si>
</sst>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1"/>
      <color theme="1"/>
      <name val="Calibri"/>
      <family val="2"/>
      <scheme val="minor"/>
    </font>
    <font>
      <sz val="11"/>
      <color rgb="FF006100"/>
      <name val="Calibri"/>
      <family val="2"/>
      <charset val="204"/>
      <scheme val="minor"/>
    </font>
    <font>
      <b/>
      <sz val="11"/>
      <color theme="1"/>
      <name val="Calibri"/>
      <family val="2"/>
      <charset val="204"/>
      <scheme val="minor"/>
    </font>
    <font>
      <b/>
      <i/>
      <u/>
      <sz val="12"/>
      <color theme="1"/>
      <name val="Calibri"/>
      <family val="2"/>
      <charset val="204"/>
      <scheme val="minor"/>
    </font>
    <font>
      <sz val="12"/>
      <color theme="1"/>
      <name val="Times New Roman"/>
      <family val="1"/>
      <charset val="204"/>
    </font>
    <font>
      <b/>
      <i/>
      <u/>
      <sz val="12"/>
      <color theme="1"/>
      <name val="Times New Roman"/>
      <family val="1"/>
      <charset val="204"/>
    </font>
    <font>
      <sz val="11"/>
      <color theme="1"/>
      <name val="Times New Roman"/>
      <family val="1"/>
      <charset val="204"/>
    </font>
    <font>
      <sz val="11"/>
      <color theme="1"/>
      <name val="Calibri"/>
      <family val="2"/>
    </font>
  </fonts>
  <fills count="9">
    <fill>
      <patternFill patternType="none"/>
    </fill>
    <fill>
      <patternFill patternType="gray125"/>
    </fill>
    <fill>
      <patternFill patternType="solid">
        <fgColor rgb="FFC6EFCE"/>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24">
    <xf numFmtId="0" fontId="0" fillId="0" borderId="0" xfId="0"/>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164" fontId="4" fillId="3" borderId="1" xfId="0" applyNumberFormat="1" applyFont="1" applyFill="1" applyBorder="1" applyAlignment="1">
      <alignment horizontal="center" vertical="center" wrapText="1"/>
    </xf>
    <xf numFmtId="0" fontId="0" fillId="0" borderId="1" xfId="0" applyBorder="1"/>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0" fontId="0" fillId="0" borderId="0" xfId="0" applyAlignment="1">
      <alignment horizontal="center" vertical="center"/>
    </xf>
    <xf numFmtId="0" fontId="0" fillId="0" borderId="2" xfId="0" applyBorder="1" applyAlignment="1">
      <alignment horizontal="center" vertic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7" borderId="4" xfId="0" applyFont="1" applyFill="1" applyBorder="1" applyAlignment="1">
      <alignment horizont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5" borderId="4" xfId="0" applyFont="1" applyFill="1" applyBorder="1" applyAlignment="1">
      <alignment horizontal="center"/>
    </xf>
    <xf numFmtId="0" fontId="5" fillId="6" borderId="2" xfId="1" applyNumberFormat="1" applyFont="1" applyFill="1" applyBorder="1" applyAlignment="1">
      <alignment horizontal="center" vertical="center" wrapText="1"/>
    </xf>
    <xf numFmtId="0" fontId="5" fillId="6" borderId="3" xfId="1" applyNumberFormat="1" applyFont="1" applyFill="1" applyBorder="1" applyAlignment="1">
      <alignment horizontal="center" vertical="center" wrapText="1"/>
    </xf>
    <xf numFmtId="0" fontId="5" fillId="6" borderId="4" xfId="1" applyNumberFormat="1" applyFont="1" applyFill="1" applyBorder="1" applyAlignment="1">
      <alignment horizontal="center" vertical="center" wrapText="1"/>
    </xf>
    <xf numFmtId="0" fontId="3" fillId="8" borderId="1" xfId="0" applyFont="1" applyFill="1" applyBorder="1" applyAlignment="1">
      <alignment horizontal="center"/>
    </xf>
    <xf numFmtId="0" fontId="5" fillId="4" borderId="1" xfId="1" applyNumberFormat="1" applyFont="1" applyFill="1" applyBorder="1" applyAlignment="1">
      <alignment horizontal="center" vertical="center" wrapText="1"/>
    </xf>
    <xf numFmtId="0" fontId="5" fillId="6" borderId="1" xfId="1" applyNumberFormat="1" applyFont="1" applyFill="1" applyBorder="1" applyAlignment="1">
      <alignment horizontal="center" vertical="center" wrapText="1"/>
    </xf>
  </cellXfs>
  <cellStyles count="2">
    <cellStyle name="Обычный" xfId="0" builtinId="0"/>
    <cellStyle name="Хороший"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97"/>
  <sheetViews>
    <sheetView tabSelected="1" topLeftCell="A7" zoomScaleNormal="100" workbookViewId="0">
      <selection activeCell="H43" sqref="H43"/>
    </sheetView>
  </sheetViews>
  <sheetFormatPr defaultRowHeight="15" x14ac:dyDescent="0.25"/>
  <cols>
    <col min="1" max="1" width="9.140625" style="10"/>
    <col min="2" max="2" width="46.140625" customWidth="1"/>
    <col min="3" max="3" width="9.140625" style="9"/>
    <col min="4" max="4" width="11.28515625" style="9" customWidth="1"/>
    <col min="5" max="5" width="41.7109375" customWidth="1"/>
  </cols>
  <sheetData>
    <row r="1" spans="1:6" ht="15.75" x14ac:dyDescent="0.25">
      <c r="A1" s="21" t="s">
        <v>0</v>
      </c>
      <c r="B1" s="21"/>
      <c r="C1" s="21"/>
      <c r="D1" s="21"/>
      <c r="E1" s="21"/>
    </row>
    <row r="2" spans="1:6" ht="15.75" x14ac:dyDescent="0.25">
      <c r="A2" s="21" t="s">
        <v>1</v>
      </c>
      <c r="B2" s="21"/>
      <c r="C2" s="21"/>
      <c r="D2" s="21"/>
      <c r="E2" s="21"/>
    </row>
    <row r="3" spans="1:6" ht="15.75" x14ac:dyDescent="0.25">
      <c r="A3" s="1" t="s">
        <v>2</v>
      </c>
      <c r="B3" s="2" t="s">
        <v>3</v>
      </c>
      <c r="C3" s="1" t="s">
        <v>4</v>
      </c>
      <c r="D3" s="3" t="s">
        <v>5</v>
      </c>
      <c r="E3" s="1" t="s">
        <v>6</v>
      </c>
    </row>
    <row r="4" spans="1:6" ht="15.75" x14ac:dyDescent="0.25">
      <c r="A4" s="22" t="s">
        <v>7</v>
      </c>
      <c r="B4" s="22"/>
      <c r="C4" s="22"/>
      <c r="D4" s="22"/>
      <c r="E4" s="22"/>
      <c r="F4">
        <v>8.52</v>
      </c>
    </row>
    <row r="5" spans="1:6" x14ac:dyDescent="0.25">
      <c r="A5" s="15" t="s">
        <v>18</v>
      </c>
      <c r="B5" s="16"/>
      <c r="C5" s="16"/>
      <c r="D5" s="16"/>
      <c r="E5" s="17"/>
    </row>
    <row r="6" spans="1:6" x14ac:dyDescent="0.25">
      <c r="A6" s="7">
        <v>1</v>
      </c>
      <c r="B6" s="4" t="s">
        <v>8</v>
      </c>
      <c r="C6" s="8" t="s">
        <v>9</v>
      </c>
      <c r="D6" s="8">
        <f>2.012*0.1</f>
        <v>0.20120000000000002</v>
      </c>
      <c r="E6" s="4" t="s">
        <v>10</v>
      </c>
    </row>
    <row r="7" spans="1:6" ht="105" x14ac:dyDescent="0.25">
      <c r="A7" s="7">
        <v>2</v>
      </c>
      <c r="B7" s="5" t="s">
        <v>11</v>
      </c>
      <c r="C7" s="7" t="s">
        <v>9</v>
      </c>
      <c r="D7" s="7">
        <f>1.52*0.6</f>
        <v>0.91199999999999992</v>
      </c>
      <c r="E7" s="6" t="s">
        <v>153</v>
      </c>
    </row>
    <row r="8" spans="1:6" x14ac:dyDescent="0.25">
      <c r="A8" s="7"/>
      <c r="B8" s="5" t="s">
        <v>45</v>
      </c>
      <c r="C8" s="7" t="s">
        <v>14</v>
      </c>
      <c r="D8" s="7">
        <v>2</v>
      </c>
      <c r="E8" s="6"/>
    </row>
    <row r="9" spans="1:6" x14ac:dyDescent="0.25">
      <c r="A9" s="7"/>
      <c r="B9" s="5" t="s">
        <v>46</v>
      </c>
      <c r="C9" s="7" t="s">
        <v>14</v>
      </c>
      <c r="D9" s="7">
        <v>3</v>
      </c>
      <c r="E9" s="6"/>
    </row>
    <row r="10" spans="1:6" x14ac:dyDescent="0.25">
      <c r="A10" s="7"/>
      <c r="B10" s="5" t="s">
        <v>47</v>
      </c>
      <c r="C10" s="7" t="s">
        <v>14</v>
      </c>
      <c r="D10" s="7">
        <v>1</v>
      </c>
      <c r="E10" s="6"/>
    </row>
    <row r="11" spans="1:6" x14ac:dyDescent="0.25">
      <c r="A11" s="7"/>
      <c r="B11" s="5" t="s">
        <v>48</v>
      </c>
      <c r="C11" s="7" t="s">
        <v>14</v>
      </c>
      <c r="D11" s="7">
        <v>1</v>
      </c>
      <c r="E11" s="6"/>
    </row>
    <row r="12" spans="1:6" x14ac:dyDescent="0.25">
      <c r="A12" s="7"/>
      <c r="B12" s="5" t="s">
        <v>49</v>
      </c>
      <c r="C12" s="7" t="s">
        <v>14</v>
      </c>
      <c r="D12" s="7">
        <v>1</v>
      </c>
      <c r="E12" s="6"/>
    </row>
    <row r="13" spans="1:6" x14ac:dyDescent="0.25">
      <c r="A13" s="7"/>
      <c r="B13" s="5" t="s">
        <v>150</v>
      </c>
      <c r="C13" s="7" t="s">
        <v>16</v>
      </c>
      <c r="D13" s="7">
        <f>(9+9+18+18+18+9)*1</f>
        <v>81</v>
      </c>
      <c r="E13" s="6"/>
    </row>
    <row r="14" spans="1:6" x14ac:dyDescent="0.25">
      <c r="A14" s="7">
        <v>3</v>
      </c>
      <c r="B14" s="4" t="s">
        <v>12</v>
      </c>
      <c r="C14" s="8" t="s">
        <v>16</v>
      </c>
      <c r="D14" s="8">
        <f>12.3*0.58*2</f>
        <v>14.268000000000001</v>
      </c>
      <c r="E14" s="4" t="s">
        <v>20</v>
      </c>
    </row>
    <row r="15" spans="1:6" x14ac:dyDescent="0.25">
      <c r="A15" s="7">
        <v>4</v>
      </c>
      <c r="B15" s="4" t="s">
        <v>15</v>
      </c>
      <c r="C15" s="8" t="s">
        <v>16</v>
      </c>
      <c r="D15" s="8">
        <v>0.81</v>
      </c>
      <c r="E15" s="4" t="s">
        <v>17</v>
      </c>
    </row>
    <row r="16" spans="1:6" x14ac:dyDescent="0.25">
      <c r="A16" s="11">
        <v>5</v>
      </c>
      <c r="B16" s="4" t="s">
        <v>27</v>
      </c>
      <c r="C16" s="8" t="s">
        <v>28</v>
      </c>
      <c r="D16" s="8">
        <f>4.778*0.6</f>
        <v>2.8667999999999996</v>
      </c>
      <c r="E16" s="4" t="s">
        <v>29</v>
      </c>
    </row>
    <row r="17" spans="1:5" x14ac:dyDescent="0.25">
      <c r="A17" s="15" t="s">
        <v>19</v>
      </c>
      <c r="B17" s="16"/>
      <c r="C17" s="16"/>
      <c r="D17" s="16"/>
      <c r="E17" s="17"/>
    </row>
    <row r="18" spans="1:5" x14ac:dyDescent="0.25">
      <c r="A18" s="7">
        <v>1</v>
      </c>
      <c r="B18" s="4" t="s">
        <v>8</v>
      </c>
      <c r="C18" s="8" t="s">
        <v>9</v>
      </c>
      <c r="D18" s="8">
        <f>2.01*0.1</f>
        <v>0.20099999999999998</v>
      </c>
      <c r="E18" s="4" t="s">
        <v>10</v>
      </c>
    </row>
    <row r="19" spans="1:5" ht="105" x14ac:dyDescent="0.25">
      <c r="A19" s="7">
        <v>2</v>
      </c>
      <c r="B19" s="5" t="s">
        <v>11</v>
      </c>
      <c r="C19" s="7" t="s">
        <v>9</v>
      </c>
      <c r="D19" s="7">
        <f>1.52*0.6</f>
        <v>0.91199999999999992</v>
      </c>
      <c r="E19" s="6" t="s">
        <v>151</v>
      </c>
    </row>
    <row r="20" spans="1:5" x14ac:dyDescent="0.25">
      <c r="A20" s="7"/>
      <c r="B20" s="5" t="s">
        <v>45</v>
      </c>
      <c r="C20" s="7" t="s">
        <v>14</v>
      </c>
      <c r="D20" s="7">
        <v>2</v>
      </c>
      <c r="E20" s="6"/>
    </row>
    <row r="21" spans="1:5" x14ac:dyDescent="0.25">
      <c r="A21" s="7"/>
      <c r="B21" s="5" t="s">
        <v>46</v>
      </c>
      <c r="C21" s="7" t="s">
        <v>14</v>
      </c>
      <c r="D21" s="7">
        <v>3</v>
      </c>
      <c r="E21" s="6"/>
    </row>
    <row r="22" spans="1:5" x14ac:dyDescent="0.25">
      <c r="A22" s="7"/>
      <c r="B22" s="5" t="s">
        <v>47</v>
      </c>
      <c r="C22" s="7" t="s">
        <v>14</v>
      </c>
      <c r="D22" s="7">
        <v>1</v>
      </c>
      <c r="E22" s="6"/>
    </row>
    <row r="23" spans="1:5" x14ac:dyDescent="0.25">
      <c r="A23" s="7"/>
      <c r="B23" s="5" t="s">
        <v>50</v>
      </c>
      <c r="C23" s="7" t="s">
        <v>14</v>
      </c>
      <c r="D23" s="7">
        <v>1</v>
      </c>
      <c r="E23" s="6"/>
    </row>
    <row r="24" spans="1:5" x14ac:dyDescent="0.25">
      <c r="A24" s="7"/>
      <c r="B24" s="5" t="s">
        <v>49</v>
      </c>
      <c r="C24" s="7" t="s">
        <v>14</v>
      </c>
      <c r="D24" s="7">
        <v>1</v>
      </c>
      <c r="E24" s="6"/>
    </row>
    <row r="25" spans="1:5" x14ac:dyDescent="0.25">
      <c r="A25" s="7"/>
      <c r="B25" s="5" t="s">
        <v>150</v>
      </c>
      <c r="C25" s="7" t="s">
        <v>16</v>
      </c>
      <c r="D25" s="7">
        <f>18*1</f>
        <v>18</v>
      </c>
      <c r="E25" s="6"/>
    </row>
    <row r="26" spans="1:5" x14ac:dyDescent="0.25">
      <c r="A26" s="7">
        <v>3</v>
      </c>
      <c r="B26" s="4" t="s">
        <v>12</v>
      </c>
      <c r="C26" s="8" t="s">
        <v>16</v>
      </c>
      <c r="D26" s="8">
        <f>12.3*0.58</f>
        <v>7.1340000000000003</v>
      </c>
      <c r="E26" s="4" t="s">
        <v>23</v>
      </c>
    </row>
    <row r="27" spans="1:5" x14ac:dyDescent="0.25">
      <c r="A27" s="7">
        <v>4</v>
      </c>
      <c r="B27" s="4" t="s">
        <v>21</v>
      </c>
      <c r="C27" s="8" t="s">
        <v>16</v>
      </c>
      <c r="D27" s="8">
        <f>10.5*0.58</f>
        <v>6.09</v>
      </c>
      <c r="E27" s="4" t="s">
        <v>22</v>
      </c>
    </row>
    <row r="28" spans="1:5" x14ac:dyDescent="0.25">
      <c r="A28" s="7">
        <v>5</v>
      </c>
      <c r="B28" s="4" t="s">
        <v>15</v>
      </c>
      <c r="C28" s="8" t="s">
        <v>16</v>
      </c>
      <c r="D28" s="8">
        <f>4*8.86</f>
        <v>35.44</v>
      </c>
      <c r="E28" s="4" t="s">
        <v>17</v>
      </c>
    </row>
    <row r="29" spans="1:5" x14ac:dyDescent="0.25">
      <c r="A29" s="11">
        <v>6</v>
      </c>
      <c r="B29" s="4" t="s">
        <v>27</v>
      </c>
      <c r="C29" s="8" t="s">
        <v>28</v>
      </c>
      <c r="D29" s="8">
        <f>4.778*0.6</f>
        <v>2.8667999999999996</v>
      </c>
      <c r="E29" s="4" t="s">
        <v>29</v>
      </c>
    </row>
    <row r="30" spans="1:5" x14ac:dyDescent="0.25">
      <c r="A30" s="15" t="s">
        <v>24</v>
      </c>
      <c r="B30" s="16"/>
      <c r="C30" s="16"/>
      <c r="D30" s="16"/>
      <c r="E30" s="17"/>
    </row>
    <row r="31" spans="1:5" x14ac:dyDescent="0.25">
      <c r="A31" s="7">
        <v>1</v>
      </c>
      <c r="B31" s="4" t="s">
        <v>8</v>
      </c>
      <c r="C31" s="8" t="s">
        <v>9</v>
      </c>
      <c r="D31" s="8">
        <f>2.01*0.1</f>
        <v>0.20099999999999998</v>
      </c>
      <c r="E31" s="4" t="s">
        <v>10</v>
      </c>
    </row>
    <row r="32" spans="1:5" ht="105" x14ac:dyDescent="0.25">
      <c r="A32" s="7">
        <v>2</v>
      </c>
      <c r="B32" s="5" t="s">
        <v>11</v>
      </c>
      <c r="C32" s="7" t="s">
        <v>9</v>
      </c>
      <c r="D32" s="7">
        <f>1.52*0.6</f>
        <v>0.91199999999999992</v>
      </c>
      <c r="E32" s="6" t="s">
        <v>152</v>
      </c>
    </row>
    <row r="33" spans="1:5" x14ac:dyDescent="0.25">
      <c r="A33" s="7"/>
      <c r="B33" s="5" t="s">
        <v>45</v>
      </c>
      <c r="C33" s="7" t="s">
        <v>14</v>
      </c>
      <c r="D33" s="7">
        <v>2</v>
      </c>
      <c r="E33" s="6"/>
    </row>
    <row r="34" spans="1:5" x14ac:dyDescent="0.25">
      <c r="A34" s="7"/>
      <c r="B34" s="5" t="s">
        <v>46</v>
      </c>
      <c r="C34" s="7" t="s">
        <v>14</v>
      </c>
      <c r="D34" s="7">
        <v>3</v>
      </c>
      <c r="E34" s="6"/>
    </row>
    <row r="35" spans="1:5" x14ac:dyDescent="0.25">
      <c r="A35" s="7"/>
      <c r="B35" s="5" t="s">
        <v>47</v>
      </c>
      <c r="C35" s="7" t="s">
        <v>14</v>
      </c>
      <c r="D35" s="7">
        <v>1</v>
      </c>
      <c r="E35" s="6"/>
    </row>
    <row r="36" spans="1:5" x14ac:dyDescent="0.25">
      <c r="A36" s="7"/>
      <c r="B36" s="5" t="s">
        <v>51</v>
      </c>
      <c r="C36" s="7" t="s">
        <v>14</v>
      </c>
      <c r="D36" s="7">
        <v>1</v>
      </c>
      <c r="E36" s="6"/>
    </row>
    <row r="37" spans="1:5" x14ac:dyDescent="0.25">
      <c r="A37" s="7"/>
      <c r="B37" s="5" t="s">
        <v>49</v>
      </c>
      <c r="C37" s="7" t="s">
        <v>14</v>
      </c>
      <c r="D37" s="7">
        <v>1</v>
      </c>
      <c r="E37" s="6"/>
    </row>
    <row r="38" spans="1:5" x14ac:dyDescent="0.25">
      <c r="A38" s="7"/>
      <c r="B38" s="5" t="s">
        <v>150</v>
      </c>
      <c r="C38" s="7" t="s">
        <v>16</v>
      </c>
      <c r="D38" s="7">
        <f>18*1</f>
        <v>18</v>
      </c>
      <c r="E38" s="6"/>
    </row>
    <row r="39" spans="1:5" x14ac:dyDescent="0.25">
      <c r="A39" s="7">
        <v>3</v>
      </c>
      <c r="B39" s="4" t="s">
        <v>12</v>
      </c>
      <c r="C39" s="8" t="s">
        <v>16</v>
      </c>
      <c r="D39" s="8">
        <f>12.3*0.58</f>
        <v>7.1340000000000003</v>
      </c>
      <c r="E39" s="4" t="s">
        <v>23</v>
      </c>
    </row>
    <row r="40" spans="1:5" x14ac:dyDescent="0.25">
      <c r="A40" s="7">
        <v>4</v>
      </c>
      <c r="B40" s="4" t="s">
        <v>21</v>
      </c>
      <c r="C40" s="8" t="s">
        <v>16</v>
      </c>
      <c r="D40" s="8">
        <f>10.5*0.58</f>
        <v>6.09</v>
      </c>
      <c r="E40" s="4" t="s">
        <v>22</v>
      </c>
    </row>
    <row r="41" spans="1:5" x14ac:dyDescent="0.25">
      <c r="A41" s="7">
        <v>5</v>
      </c>
      <c r="B41" s="4" t="s">
        <v>15</v>
      </c>
      <c r="C41" s="8" t="s">
        <v>16</v>
      </c>
      <c r="D41" s="8">
        <f>4*8.86</f>
        <v>35.44</v>
      </c>
      <c r="E41" s="4" t="s">
        <v>17</v>
      </c>
    </row>
    <row r="42" spans="1:5" x14ac:dyDescent="0.25">
      <c r="A42" s="11">
        <v>6</v>
      </c>
      <c r="B42" s="4" t="s">
        <v>27</v>
      </c>
      <c r="C42" s="8" t="s">
        <v>28</v>
      </c>
      <c r="D42" s="8">
        <f>4.778*0.6</f>
        <v>2.8667999999999996</v>
      </c>
      <c r="E42" s="4" t="s">
        <v>29</v>
      </c>
    </row>
    <row r="43" spans="1:5" x14ac:dyDescent="0.25">
      <c r="A43" s="15" t="s">
        <v>25</v>
      </c>
      <c r="B43" s="16"/>
      <c r="C43" s="16"/>
      <c r="D43" s="16"/>
      <c r="E43" s="17"/>
    </row>
    <row r="44" spans="1:5" x14ac:dyDescent="0.25">
      <c r="A44" s="7">
        <v>1</v>
      </c>
      <c r="B44" s="4" t="s">
        <v>8</v>
      </c>
      <c r="C44" s="8" t="s">
        <v>9</v>
      </c>
      <c r="D44" s="8">
        <f>2.12*0.1</f>
        <v>0.21200000000000002</v>
      </c>
      <c r="E44" s="4" t="s">
        <v>10</v>
      </c>
    </row>
    <row r="45" spans="1:5" ht="105" x14ac:dyDescent="0.25">
      <c r="A45" s="7">
        <v>2</v>
      </c>
      <c r="B45" s="5" t="s">
        <v>11</v>
      </c>
      <c r="C45" s="7" t="s">
        <v>9</v>
      </c>
      <c r="D45" s="7">
        <f>1.61*0.6</f>
        <v>0.96599999999999997</v>
      </c>
      <c r="E45" s="6" t="s">
        <v>154</v>
      </c>
    </row>
    <row r="46" spans="1:5" x14ac:dyDescent="0.25">
      <c r="A46" s="7"/>
      <c r="B46" s="5" t="s">
        <v>52</v>
      </c>
      <c r="C46" s="7" t="s">
        <v>14</v>
      </c>
      <c r="D46" s="7">
        <v>2</v>
      </c>
      <c r="E46" s="6"/>
    </row>
    <row r="47" spans="1:5" x14ac:dyDescent="0.25">
      <c r="A47" s="7"/>
      <c r="B47" s="5" t="s">
        <v>46</v>
      </c>
      <c r="C47" s="7" t="s">
        <v>14</v>
      </c>
      <c r="D47" s="7">
        <v>3</v>
      </c>
      <c r="E47" s="6"/>
    </row>
    <row r="48" spans="1:5" x14ac:dyDescent="0.25">
      <c r="A48" s="7"/>
      <c r="B48" s="5" t="s">
        <v>47</v>
      </c>
      <c r="C48" s="7" t="s">
        <v>14</v>
      </c>
      <c r="D48" s="7">
        <v>1</v>
      </c>
      <c r="E48" s="6"/>
    </row>
    <row r="49" spans="1:5" x14ac:dyDescent="0.25">
      <c r="A49" s="7"/>
      <c r="B49" s="5" t="s">
        <v>53</v>
      </c>
      <c r="C49" s="7" t="s">
        <v>14</v>
      </c>
      <c r="D49" s="7">
        <v>1</v>
      </c>
      <c r="E49" s="6"/>
    </row>
    <row r="50" spans="1:5" x14ac:dyDescent="0.25">
      <c r="A50" s="7"/>
      <c r="B50" s="5" t="s">
        <v>54</v>
      </c>
      <c r="C50" s="7" t="s">
        <v>14</v>
      </c>
      <c r="D50" s="7">
        <v>1</v>
      </c>
      <c r="E50" s="6"/>
    </row>
    <row r="51" spans="1:5" x14ac:dyDescent="0.25">
      <c r="A51" s="7"/>
      <c r="B51" s="5" t="s">
        <v>150</v>
      </c>
      <c r="C51" s="7" t="s">
        <v>16</v>
      </c>
      <c r="D51" s="7">
        <f>18*1</f>
        <v>18</v>
      </c>
      <c r="E51" s="6"/>
    </row>
    <row r="52" spans="1:5" x14ac:dyDescent="0.25">
      <c r="A52" s="7">
        <v>3</v>
      </c>
      <c r="B52" s="4" t="s">
        <v>12</v>
      </c>
      <c r="C52" s="8" t="s">
        <v>16</v>
      </c>
      <c r="D52" s="8">
        <f>12.3*0.58*2</f>
        <v>14.268000000000001</v>
      </c>
      <c r="E52" s="4" t="s">
        <v>20</v>
      </c>
    </row>
    <row r="53" spans="1:5" x14ac:dyDescent="0.25">
      <c r="A53" s="7">
        <v>4</v>
      </c>
      <c r="B53" s="4" t="s">
        <v>15</v>
      </c>
      <c r="C53" s="8" t="s">
        <v>16</v>
      </c>
      <c r="D53" s="8">
        <f>4*8.86</f>
        <v>35.44</v>
      </c>
      <c r="E53" s="4" t="s">
        <v>17</v>
      </c>
    </row>
    <row r="54" spans="1:5" x14ac:dyDescent="0.25">
      <c r="A54" s="11">
        <v>5</v>
      </c>
      <c r="B54" s="4" t="s">
        <v>27</v>
      </c>
      <c r="C54" s="8" t="s">
        <v>28</v>
      </c>
      <c r="D54" s="8">
        <f>4.935*0.6</f>
        <v>2.9609999999999999</v>
      </c>
      <c r="E54" s="4" t="s">
        <v>29</v>
      </c>
    </row>
    <row r="55" spans="1:5" x14ac:dyDescent="0.25">
      <c r="A55" s="15" t="s">
        <v>26</v>
      </c>
      <c r="B55" s="16"/>
      <c r="C55" s="16"/>
      <c r="D55" s="16"/>
      <c r="E55" s="17"/>
    </row>
    <row r="56" spans="1:5" x14ac:dyDescent="0.25">
      <c r="A56" s="7">
        <v>1</v>
      </c>
      <c r="B56" s="4" t="s">
        <v>8</v>
      </c>
      <c r="C56" s="8" t="s">
        <v>9</v>
      </c>
      <c r="D56" s="8">
        <f>2.372*0.1</f>
        <v>0.23719999999999999</v>
      </c>
      <c r="E56" s="4" t="s">
        <v>10</v>
      </c>
    </row>
    <row r="57" spans="1:5" ht="135" x14ac:dyDescent="0.25">
      <c r="A57" s="7">
        <v>2</v>
      </c>
      <c r="B57" s="5" t="s">
        <v>11</v>
      </c>
      <c r="C57" s="7" t="s">
        <v>9</v>
      </c>
      <c r="D57" s="7">
        <f>1.812*0.6</f>
        <v>1.0871999999999999</v>
      </c>
      <c r="E57" s="6" t="s">
        <v>155</v>
      </c>
    </row>
    <row r="58" spans="1:5" x14ac:dyDescent="0.25">
      <c r="A58" s="7"/>
      <c r="B58" s="5" t="s">
        <v>46</v>
      </c>
      <c r="C58" s="7" t="s">
        <v>14</v>
      </c>
      <c r="D58" s="7">
        <v>1</v>
      </c>
      <c r="E58" s="6"/>
    </row>
    <row r="59" spans="1:5" x14ac:dyDescent="0.25">
      <c r="A59" s="7"/>
      <c r="B59" s="5" t="s">
        <v>47</v>
      </c>
      <c r="C59" s="7" t="s">
        <v>14</v>
      </c>
      <c r="D59" s="7">
        <v>1</v>
      </c>
      <c r="E59" s="6"/>
    </row>
    <row r="60" spans="1:5" x14ac:dyDescent="0.25">
      <c r="A60" s="7"/>
      <c r="B60" s="5" t="s">
        <v>55</v>
      </c>
      <c r="C60" s="7" t="s">
        <v>14</v>
      </c>
      <c r="D60" s="7">
        <v>1</v>
      </c>
      <c r="E60" s="6"/>
    </row>
    <row r="61" spans="1:5" x14ac:dyDescent="0.25">
      <c r="A61" s="7"/>
      <c r="B61" s="5" t="s">
        <v>56</v>
      </c>
      <c r="C61" s="7" t="s">
        <v>14</v>
      </c>
      <c r="D61" s="7">
        <v>1</v>
      </c>
      <c r="E61" s="6"/>
    </row>
    <row r="62" spans="1:5" x14ac:dyDescent="0.25">
      <c r="A62" s="7"/>
      <c r="B62" s="5" t="s">
        <v>57</v>
      </c>
      <c r="C62" s="7" t="s">
        <v>14</v>
      </c>
      <c r="D62" s="7">
        <v>1</v>
      </c>
      <c r="E62" s="6"/>
    </row>
    <row r="63" spans="1:5" x14ac:dyDescent="0.25">
      <c r="A63" s="7"/>
      <c r="B63" s="5" t="s">
        <v>58</v>
      </c>
      <c r="C63" s="7" t="s">
        <v>14</v>
      </c>
      <c r="D63" s="7">
        <v>1</v>
      </c>
      <c r="E63" s="6"/>
    </row>
    <row r="64" spans="1:5" x14ac:dyDescent="0.25">
      <c r="A64" s="7"/>
      <c r="B64" s="5" t="s">
        <v>59</v>
      </c>
      <c r="C64" s="7" t="s">
        <v>14</v>
      </c>
      <c r="D64" s="7">
        <v>1</v>
      </c>
      <c r="E64" s="6"/>
    </row>
    <row r="65" spans="1:5" x14ac:dyDescent="0.25">
      <c r="A65" s="7"/>
      <c r="B65" s="5" t="s">
        <v>150</v>
      </c>
      <c r="C65" s="7" t="s">
        <v>16</v>
      </c>
      <c r="D65" s="7">
        <f>18*1</f>
        <v>18</v>
      </c>
      <c r="E65" s="6"/>
    </row>
    <row r="66" spans="1:5" x14ac:dyDescent="0.25">
      <c r="A66" s="7">
        <v>3</v>
      </c>
      <c r="B66" s="4" t="s">
        <v>12</v>
      </c>
      <c r="C66" s="8" t="s">
        <v>16</v>
      </c>
      <c r="D66" s="8">
        <f>12.3*0.58*2</f>
        <v>14.268000000000001</v>
      </c>
      <c r="E66" s="4" t="s">
        <v>20</v>
      </c>
    </row>
    <row r="67" spans="1:5" x14ac:dyDescent="0.25">
      <c r="A67" s="7">
        <v>4</v>
      </c>
      <c r="B67" s="4" t="s">
        <v>15</v>
      </c>
      <c r="C67" s="8" t="s">
        <v>16</v>
      </c>
      <c r="D67" s="8">
        <f>4*8.86</f>
        <v>35.44</v>
      </c>
      <c r="E67" s="4" t="s">
        <v>17</v>
      </c>
    </row>
    <row r="68" spans="1:5" x14ac:dyDescent="0.25">
      <c r="A68" s="11">
        <v>5</v>
      </c>
      <c r="B68" s="4" t="s">
        <v>27</v>
      </c>
      <c r="C68" s="8" t="s">
        <v>28</v>
      </c>
      <c r="D68" s="8">
        <f>5.313*0.6</f>
        <v>3.1877999999999997</v>
      </c>
      <c r="E68" s="4" t="s">
        <v>29</v>
      </c>
    </row>
    <row r="69" spans="1:5" x14ac:dyDescent="0.25">
      <c r="A69" s="15" t="s">
        <v>30</v>
      </c>
      <c r="B69" s="16"/>
      <c r="C69" s="16"/>
      <c r="D69" s="16"/>
      <c r="E69" s="17"/>
    </row>
    <row r="70" spans="1:5" x14ac:dyDescent="0.25">
      <c r="A70" s="7">
        <v>1</v>
      </c>
      <c r="B70" s="4" t="s">
        <v>8</v>
      </c>
      <c r="C70" s="8" t="s">
        <v>9</v>
      </c>
      <c r="D70" s="8">
        <f>2.288*0.1</f>
        <v>0.2288</v>
      </c>
      <c r="E70" s="4" t="s">
        <v>10</v>
      </c>
    </row>
    <row r="71" spans="1:5" ht="105" x14ac:dyDescent="0.25">
      <c r="A71" s="7">
        <v>2</v>
      </c>
      <c r="B71" s="5" t="s">
        <v>11</v>
      </c>
      <c r="C71" s="7" t="s">
        <v>9</v>
      </c>
      <c r="D71" s="7">
        <f>1.75*0.6</f>
        <v>1.05</v>
      </c>
      <c r="E71" s="6" t="s">
        <v>156</v>
      </c>
    </row>
    <row r="72" spans="1:5" x14ac:dyDescent="0.25">
      <c r="A72" s="7"/>
      <c r="B72" s="5" t="s">
        <v>46</v>
      </c>
      <c r="C72" s="7" t="s">
        <v>14</v>
      </c>
      <c r="D72" s="7">
        <v>3</v>
      </c>
      <c r="E72" s="6"/>
    </row>
    <row r="73" spans="1:5" x14ac:dyDescent="0.25">
      <c r="A73" s="7"/>
      <c r="B73" s="5" t="s">
        <v>47</v>
      </c>
      <c r="C73" s="7" t="s">
        <v>14</v>
      </c>
      <c r="D73" s="7">
        <v>1</v>
      </c>
      <c r="E73" s="6"/>
    </row>
    <row r="74" spans="1:5" x14ac:dyDescent="0.25">
      <c r="A74" s="7"/>
      <c r="B74" s="5" t="s">
        <v>60</v>
      </c>
      <c r="C74" s="7" t="s">
        <v>14</v>
      </c>
      <c r="D74" s="7">
        <v>1</v>
      </c>
      <c r="E74" s="6"/>
    </row>
    <row r="75" spans="1:5" x14ac:dyDescent="0.25">
      <c r="A75" s="7"/>
      <c r="B75" s="5" t="s">
        <v>61</v>
      </c>
      <c r="C75" s="7" t="s">
        <v>14</v>
      </c>
      <c r="D75" s="7">
        <v>1</v>
      </c>
      <c r="E75" s="6"/>
    </row>
    <row r="76" spans="1:5" x14ac:dyDescent="0.25">
      <c r="A76" s="7"/>
      <c r="B76" s="5" t="s">
        <v>62</v>
      </c>
      <c r="C76" s="7" t="s">
        <v>14</v>
      </c>
      <c r="D76" s="7">
        <v>1</v>
      </c>
      <c r="E76" s="6"/>
    </row>
    <row r="77" spans="1:5" x14ac:dyDescent="0.25">
      <c r="A77" s="7"/>
      <c r="B77" s="5" t="s">
        <v>150</v>
      </c>
      <c r="C77" s="7" t="s">
        <v>16</v>
      </c>
      <c r="D77" s="7">
        <f>9*1</f>
        <v>9</v>
      </c>
      <c r="E77" s="6"/>
    </row>
    <row r="78" spans="1:5" x14ac:dyDescent="0.25">
      <c r="A78" s="7">
        <v>3</v>
      </c>
      <c r="B78" s="4" t="s">
        <v>12</v>
      </c>
      <c r="C78" s="8" t="s">
        <v>16</v>
      </c>
      <c r="D78" s="8">
        <f>12.3*0.58*2</f>
        <v>14.268000000000001</v>
      </c>
      <c r="E78" s="4" t="s">
        <v>20</v>
      </c>
    </row>
    <row r="79" spans="1:5" x14ac:dyDescent="0.25">
      <c r="A79" s="7">
        <v>4</v>
      </c>
      <c r="B79" s="4" t="s">
        <v>15</v>
      </c>
      <c r="C79" s="8" t="s">
        <v>16</v>
      </c>
      <c r="D79" s="8">
        <f>4*8.86</f>
        <v>35.44</v>
      </c>
      <c r="E79" s="4" t="s">
        <v>17</v>
      </c>
    </row>
    <row r="80" spans="1:5" x14ac:dyDescent="0.25">
      <c r="A80" s="11">
        <v>5</v>
      </c>
      <c r="B80" s="4" t="s">
        <v>27</v>
      </c>
      <c r="C80" s="8" t="s">
        <v>28</v>
      </c>
      <c r="D80" s="8">
        <f>5.188*0.6</f>
        <v>3.1127999999999996</v>
      </c>
      <c r="E80" s="4" t="s">
        <v>29</v>
      </c>
    </row>
    <row r="81" spans="1:5" x14ac:dyDescent="0.25">
      <c r="A81" s="15" t="s">
        <v>31</v>
      </c>
      <c r="B81" s="16"/>
      <c r="C81" s="16"/>
      <c r="D81" s="16"/>
      <c r="E81" s="17"/>
    </row>
    <row r="82" spans="1:5" x14ac:dyDescent="0.25">
      <c r="A82" s="7">
        <v>1</v>
      </c>
      <c r="B82" s="4" t="s">
        <v>8</v>
      </c>
      <c r="C82" s="8" t="s">
        <v>9</v>
      </c>
      <c r="D82" s="8">
        <f>2.57*0.1</f>
        <v>0.25700000000000001</v>
      </c>
      <c r="E82" s="4" t="s">
        <v>10</v>
      </c>
    </row>
    <row r="83" spans="1:5" ht="120" x14ac:dyDescent="0.25">
      <c r="A83" s="7">
        <v>2</v>
      </c>
      <c r="B83" s="5" t="s">
        <v>11</v>
      </c>
      <c r="C83" s="7" t="s">
        <v>9</v>
      </c>
      <c r="D83" s="7">
        <f>2.01*0.6</f>
        <v>1.2059999999999997</v>
      </c>
      <c r="E83" s="6" t="s">
        <v>157</v>
      </c>
    </row>
    <row r="84" spans="1:5" x14ac:dyDescent="0.25">
      <c r="A84" s="7"/>
      <c r="B84" s="5" t="s">
        <v>45</v>
      </c>
      <c r="C84" s="7" t="s">
        <v>14</v>
      </c>
      <c r="D84" s="7">
        <v>2</v>
      </c>
      <c r="E84" s="6"/>
    </row>
    <row r="85" spans="1:5" x14ac:dyDescent="0.25">
      <c r="A85" s="7"/>
      <c r="B85" s="5" t="s">
        <v>46</v>
      </c>
      <c r="C85" s="7" t="s">
        <v>14</v>
      </c>
      <c r="D85" s="7">
        <v>1</v>
      </c>
      <c r="E85" s="6"/>
    </row>
    <row r="86" spans="1:5" x14ac:dyDescent="0.25">
      <c r="A86" s="7"/>
      <c r="B86" s="5" t="s">
        <v>47</v>
      </c>
      <c r="C86" s="7" t="s">
        <v>14</v>
      </c>
      <c r="D86" s="7">
        <v>1</v>
      </c>
      <c r="E86" s="6"/>
    </row>
    <row r="87" spans="1:5" x14ac:dyDescent="0.25">
      <c r="B87" s="5" t="s">
        <v>63</v>
      </c>
      <c r="C87" s="7" t="s">
        <v>14</v>
      </c>
      <c r="D87" s="7">
        <v>2</v>
      </c>
      <c r="E87" s="6"/>
    </row>
    <row r="88" spans="1:5" x14ac:dyDescent="0.25">
      <c r="A88" s="7"/>
      <c r="B88" s="5" t="s">
        <v>64</v>
      </c>
      <c r="C88" s="7" t="s">
        <v>14</v>
      </c>
      <c r="D88" s="7">
        <v>1</v>
      </c>
      <c r="E88" s="6"/>
    </row>
    <row r="89" spans="1:5" x14ac:dyDescent="0.25">
      <c r="A89" s="7"/>
      <c r="B89" s="5" t="s">
        <v>65</v>
      </c>
      <c r="C89" s="7" t="s">
        <v>14</v>
      </c>
      <c r="D89" s="7">
        <v>1</v>
      </c>
      <c r="E89" s="6"/>
    </row>
    <row r="90" spans="1:5" x14ac:dyDescent="0.25">
      <c r="A90" s="7"/>
      <c r="B90" s="5" t="s">
        <v>150</v>
      </c>
      <c r="C90" s="7" t="s">
        <v>16</v>
      </c>
      <c r="D90" s="7">
        <f>18*1</f>
        <v>18</v>
      </c>
      <c r="E90" s="6"/>
    </row>
    <row r="91" spans="1:5" x14ac:dyDescent="0.25">
      <c r="A91" s="7">
        <v>3</v>
      </c>
      <c r="B91" s="4" t="s">
        <v>12</v>
      </c>
      <c r="C91" s="8" t="s">
        <v>16</v>
      </c>
      <c r="D91" s="8">
        <f>12.3*0.58*2</f>
        <v>14.268000000000001</v>
      </c>
      <c r="E91" s="4" t="s">
        <v>20</v>
      </c>
    </row>
    <row r="92" spans="1:5" x14ac:dyDescent="0.25">
      <c r="A92" s="7">
        <v>4</v>
      </c>
      <c r="B92" s="4" t="s">
        <v>15</v>
      </c>
      <c r="C92" s="8" t="s">
        <v>16</v>
      </c>
      <c r="D92" s="8">
        <f>4*8.86</f>
        <v>35.44</v>
      </c>
      <c r="E92" s="4" t="s">
        <v>17</v>
      </c>
    </row>
    <row r="93" spans="1:5" x14ac:dyDescent="0.25">
      <c r="A93" s="11">
        <v>5</v>
      </c>
      <c r="B93" s="4" t="s">
        <v>27</v>
      </c>
      <c r="C93" s="8" t="s">
        <v>28</v>
      </c>
      <c r="D93" s="8">
        <f>5.477*0.6</f>
        <v>3.2862</v>
      </c>
      <c r="E93" s="4" t="s">
        <v>29</v>
      </c>
    </row>
    <row r="94" spans="1:5" x14ac:dyDescent="0.25">
      <c r="A94" s="15" t="s">
        <v>32</v>
      </c>
      <c r="B94" s="16"/>
      <c r="C94" s="16"/>
      <c r="D94" s="16"/>
      <c r="E94" s="17"/>
    </row>
    <row r="95" spans="1:5" x14ac:dyDescent="0.25">
      <c r="A95" s="7">
        <v>1</v>
      </c>
      <c r="B95" s="4" t="s">
        <v>8</v>
      </c>
      <c r="C95" s="8" t="s">
        <v>9</v>
      </c>
      <c r="D95" s="8">
        <f>2.615*0.1</f>
        <v>0.26150000000000001</v>
      </c>
      <c r="E95" s="4" t="s">
        <v>10</v>
      </c>
    </row>
    <row r="96" spans="1:5" ht="120" x14ac:dyDescent="0.25">
      <c r="A96" s="7">
        <v>2</v>
      </c>
      <c r="B96" s="5" t="s">
        <v>11</v>
      </c>
      <c r="C96" s="7" t="s">
        <v>9</v>
      </c>
      <c r="D96" s="7">
        <f>1.712*0.6</f>
        <v>1.0271999999999999</v>
      </c>
      <c r="E96" s="6" t="s">
        <v>158</v>
      </c>
    </row>
    <row r="97" spans="1:5" x14ac:dyDescent="0.25">
      <c r="A97" s="7"/>
      <c r="B97" s="5" t="s">
        <v>45</v>
      </c>
      <c r="C97" s="7" t="s">
        <v>14</v>
      </c>
      <c r="D97" s="7">
        <v>2</v>
      </c>
      <c r="E97" s="6"/>
    </row>
    <row r="98" spans="1:5" x14ac:dyDescent="0.25">
      <c r="A98" s="7"/>
      <c r="B98" s="5" t="s">
        <v>46</v>
      </c>
      <c r="C98" s="7" t="s">
        <v>14</v>
      </c>
      <c r="D98" s="7">
        <v>2</v>
      </c>
      <c r="E98" s="6"/>
    </row>
    <row r="99" spans="1:5" x14ac:dyDescent="0.25">
      <c r="A99" s="7"/>
      <c r="B99" s="5" t="s">
        <v>66</v>
      </c>
      <c r="C99" s="7" t="s">
        <v>14</v>
      </c>
      <c r="D99" s="7">
        <v>1</v>
      </c>
      <c r="E99" s="6"/>
    </row>
    <row r="100" spans="1:5" x14ac:dyDescent="0.25">
      <c r="A100" s="7"/>
      <c r="B100" s="5" t="s">
        <v>67</v>
      </c>
      <c r="C100" s="7" t="s">
        <v>14</v>
      </c>
      <c r="D100" s="7">
        <v>1</v>
      </c>
      <c r="E100" s="6"/>
    </row>
    <row r="101" spans="1:5" x14ac:dyDescent="0.25">
      <c r="A101" s="7"/>
      <c r="B101" s="5" t="s">
        <v>68</v>
      </c>
      <c r="C101" s="7" t="s">
        <v>14</v>
      </c>
      <c r="D101" s="7">
        <v>1</v>
      </c>
      <c r="E101" s="6"/>
    </row>
    <row r="102" spans="1:5" x14ac:dyDescent="0.25">
      <c r="A102" s="7"/>
      <c r="B102" s="5" t="s">
        <v>69</v>
      </c>
      <c r="C102" s="7" t="s">
        <v>14</v>
      </c>
      <c r="D102" s="7">
        <v>1</v>
      </c>
      <c r="E102" s="6"/>
    </row>
    <row r="103" spans="1:5" x14ac:dyDescent="0.25">
      <c r="A103" s="7"/>
      <c r="B103" s="5" t="s">
        <v>150</v>
      </c>
      <c r="C103" s="7" t="s">
        <v>16</v>
      </c>
      <c r="D103" s="7">
        <f>9*1</f>
        <v>9</v>
      </c>
      <c r="E103" s="6"/>
    </row>
    <row r="104" spans="1:5" ht="30" x14ac:dyDescent="0.25">
      <c r="A104" s="7">
        <v>3</v>
      </c>
      <c r="B104" s="5" t="s">
        <v>86</v>
      </c>
      <c r="C104" s="7" t="s">
        <v>9</v>
      </c>
      <c r="D104" s="7">
        <f>0.33*0.6</f>
        <v>0.19800000000000001</v>
      </c>
      <c r="E104" s="6" t="s">
        <v>33</v>
      </c>
    </row>
    <row r="105" spans="1:5" x14ac:dyDescent="0.25">
      <c r="A105" s="7"/>
      <c r="B105" s="5" t="s">
        <v>159</v>
      </c>
      <c r="C105" s="7" t="s">
        <v>14</v>
      </c>
      <c r="D105" s="7">
        <v>3</v>
      </c>
      <c r="E105" s="6"/>
    </row>
    <row r="106" spans="1:5" x14ac:dyDescent="0.25">
      <c r="A106" s="7">
        <v>4</v>
      </c>
      <c r="B106" s="4" t="s">
        <v>12</v>
      </c>
      <c r="C106" s="8" t="s">
        <v>16</v>
      </c>
      <c r="D106" s="8">
        <f>12.3*0.58*2</f>
        <v>14.268000000000001</v>
      </c>
      <c r="E106" s="4" t="s">
        <v>20</v>
      </c>
    </row>
    <row r="107" spans="1:5" x14ac:dyDescent="0.25">
      <c r="A107" s="7">
        <v>5</v>
      </c>
      <c r="B107" s="4" t="s">
        <v>15</v>
      </c>
      <c r="C107" s="8" t="s">
        <v>16</v>
      </c>
      <c r="D107" s="8">
        <f>4*8.86</f>
        <v>35.44</v>
      </c>
      <c r="E107" s="4" t="s">
        <v>17</v>
      </c>
    </row>
    <row r="108" spans="1:5" x14ac:dyDescent="0.25">
      <c r="A108" s="11">
        <v>6</v>
      </c>
      <c r="B108" s="4" t="s">
        <v>27</v>
      </c>
      <c r="C108" s="8" t="s">
        <v>28</v>
      </c>
      <c r="D108" s="8">
        <f>6.177*0.6</f>
        <v>3.7061999999999995</v>
      </c>
      <c r="E108" s="4" t="s">
        <v>29</v>
      </c>
    </row>
    <row r="109" spans="1:5" x14ac:dyDescent="0.25">
      <c r="A109" s="15" t="s">
        <v>34</v>
      </c>
      <c r="B109" s="16"/>
      <c r="C109" s="16"/>
      <c r="D109" s="16"/>
      <c r="E109" s="17"/>
    </row>
    <row r="110" spans="1:5" x14ac:dyDescent="0.25">
      <c r="A110" s="7">
        <v>1</v>
      </c>
      <c r="B110" s="4" t="s">
        <v>8</v>
      </c>
      <c r="C110" s="8" t="s">
        <v>9</v>
      </c>
      <c r="D110" s="8">
        <f>2.515*0.1</f>
        <v>0.2515</v>
      </c>
      <c r="E110" s="4" t="s">
        <v>10</v>
      </c>
    </row>
    <row r="111" spans="1:5" ht="120" x14ac:dyDescent="0.25">
      <c r="A111" s="7">
        <v>2</v>
      </c>
      <c r="B111" s="5" t="s">
        <v>11</v>
      </c>
      <c r="C111" s="7" t="s">
        <v>9</v>
      </c>
      <c r="D111" s="7">
        <f>1.712*0.6</f>
        <v>1.0271999999999999</v>
      </c>
      <c r="E111" s="6" t="s">
        <v>35</v>
      </c>
    </row>
    <row r="112" spans="1:5" x14ac:dyDescent="0.25">
      <c r="A112" s="7"/>
      <c r="B112" s="5" t="s">
        <v>45</v>
      </c>
      <c r="C112" s="7" t="s">
        <v>14</v>
      </c>
      <c r="D112" s="7">
        <v>2</v>
      </c>
      <c r="E112" s="6"/>
    </row>
    <row r="113" spans="1:5" x14ac:dyDescent="0.25">
      <c r="A113" s="7"/>
      <c r="B113" s="5" t="s">
        <v>47</v>
      </c>
      <c r="C113" s="7" t="s">
        <v>14</v>
      </c>
      <c r="D113" s="7">
        <v>2</v>
      </c>
      <c r="E113" s="6"/>
    </row>
    <row r="114" spans="1:5" x14ac:dyDescent="0.25">
      <c r="A114" s="7"/>
      <c r="B114" s="5" t="s">
        <v>66</v>
      </c>
      <c r="C114" s="7" t="s">
        <v>14</v>
      </c>
      <c r="D114" s="7">
        <v>1</v>
      </c>
      <c r="E114" s="6"/>
    </row>
    <row r="115" spans="1:5" x14ac:dyDescent="0.25">
      <c r="A115" s="7"/>
      <c r="B115" s="5" t="s">
        <v>70</v>
      </c>
      <c r="C115" s="7" t="s">
        <v>14</v>
      </c>
      <c r="D115" s="7">
        <v>1</v>
      </c>
      <c r="E115" s="6"/>
    </row>
    <row r="116" spans="1:5" x14ac:dyDescent="0.25">
      <c r="A116" s="7"/>
      <c r="B116" s="5" t="s">
        <v>71</v>
      </c>
      <c r="C116" s="7" t="s">
        <v>14</v>
      </c>
      <c r="D116" s="7">
        <v>3</v>
      </c>
      <c r="E116" s="6"/>
    </row>
    <row r="117" spans="1:5" x14ac:dyDescent="0.25">
      <c r="A117" s="7"/>
      <c r="B117" s="5" t="s">
        <v>69</v>
      </c>
      <c r="C117" s="7" t="s">
        <v>14</v>
      </c>
      <c r="D117" s="7">
        <v>1</v>
      </c>
      <c r="E117" s="6"/>
    </row>
    <row r="118" spans="1:5" ht="14.25" customHeight="1" x14ac:dyDescent="0.25">
      <c r="A118" s="7"/>
      <c r="B118" s="5" t="s">
        <v>72</v>
      </c>
      <c r="C118" s="7" t="s">
        <v>14</v>
      </c>
      <c r="D118" s="7">
        <v>1</v>
      </c>
      <c r="E118" s="6"/>
    </row>
    <row r="119" spans="1:5" ht="30" x14ac:dyDescent="0.25">
      <c r="A119" s="7">
        <v>3</v>
      </c>
      <c r="B119" s="5" t="s">
        <v>86</v>
      </c>
      <c r="C119" s="7" t="s">
        <v>9</v>
      </c>
      <c r="D119" s="7">
        <f>0.21*0.6</f>
        <v>0.126</v>
      </c>
      <c r="E119" s="6" t="s">
        <v>33</v>
      </c>
    </row>
    <row r="120" spans="1:5" x14ac:dyDescent="0.25">
      <c r="A120" s="7">
        <v>4</v>
      </c>
      <c r="B120" s="4" t="s">
        <v>12</v>
      </c>
      <c r="C120" s="8" t="s">
        <v>16</v>
      </c>
      <c r="D120" s="8">
        <f>12.3*0.58*2</f>
        <v>14.268000000000001</v>
      </c>
      <c r="E120" s="4" t="s">
        <v>20</v>
      </c>
    </row>
    <row r="121" spans="1:5" x14ac:dyDescent="0.25">
      <c r="A121" s="7">
        <v>5</v>
      </c>
      <c r="B121" s="4" t="s">
        <v>15</v>
      </c>
      <c r="C121" s="8" t="s">
        <v>16</v>
      </c>
      <c r="D121" s="8">
        <f>4*8.86</f>
        <v>35.44</v>
      </c>
      <c r="E121" s="4" t="s">
        <v>17</v>
      </c>
    </row>
    <row r="122" spans="1:5" x14ac:dyDescent="0.25">
      <c r="A122" s="11">
        <v>6</v>
      </c>
      <c r="B122" s="4" t="s">
        <v>27</v>
      </c>
      <c r="C122" s="8" t="s">
        <v>28</v>
      </c>
      <c r="D122" s="8">
        <f>5.777*0.6</f>
        <v>3.4662000000000002</v>
      </c>
      <c r="E122" s="4" t="s">
        <v>29</v>
      </c>
    </row>
    <row r="123" spans="1:5" x14ac:dyDescent="0.25">
      <c r="A123" s="15" t="s">
        <v>36</v>
      </c>
      <c r="B123" s="16"/>
      <c r="C123" s="16"/>
      <c r="D123" s="16"/>
      <c r="E123" s="17"/>
    </row>
    <row r="124" spans="1:5" x14ac:dyDescent="0.25">
      <c r="A124" s="7">
        <v>1</v>
      </c>
      <c r="B124" s="4" t="s">
        <v>8</v>
      </c>
      <c r="C124" s="8" t="s">
        <v>9</v>
      </c>
      <c r="D124" s="8">
        <f>9.196*0.1</f>
        <v>0.91959999999999997</v>
      </c>
      <c r="E124" s="4" t="s">
        <v>10</v>
      </c>
    </row>
    <row r="125" spans="1:5" ht="180" x14ac:dyDescent="0.25">
      <c r="A125" s="7">
        <v>2</v>
      </c>
      <c r="B125" s="5" t="s">
        <v>11</v>
      </c>
      <c r="C125" s="7" t="s">
        <v>9</v>
      </c>
      <c r="D125" s="7">
        <f>1.712*0.6*2</f>
        <v>2.0543999999999998</v>
      </c>
      <c r="E125" s="6" t="s">
        <v>160</v>
      </c>
    </row>
    <row r="126" spans="1:5" x14ac:dyDescent="0.25">
      <c r="A126" s="7"/>
      <c r="B126" s="5" t="s">
        <v>45</v>
      </c>
      <c r="C126" s="7" t="s">
        <v>14</v>
      </c>
      <c r="D126" s="7">
        <v>4</v>
      </c>
      <c r="E126" s="6"/>
    </row>
    <row r="127" spans="1:5" x14ac:dyDescent="0.25">
      <c r="A127" s="7"/>
      <c r="B127" s="5" t="s">
        <v>46</v>
      </c>
      <c r="C127" s="7" t="s">
        <v>14</v>
      </c>
      <c r="D127" s="7">
        <v>4</v>
      </c>
      <c r="E127" s="6"/>
    </row>
    <row r="128" spans="1:5" x14ac:dyDescent="0.25">
      <c r="A128" s="7"/>
      <c r="B128" s="5" t="s">
        <v>66</v>
      </c>
      <c r="C128" s="7" t="s">
        <v>14</v>
      </c>
      <c r="D128" s="7">
        <v>2</v>
      </c>
      <c r="E128" s="6"/>
    </row>
    <row r="129" spans="1:5" x14ac:dyDescent="0.25">
      <c r="A129" s="7"/>
      <c r="B129" s="5" t="s">
        <v>67</v>
      </c>
      <c r="C129" s="7" t="s">
        <v>14</v>
      </c>
      <c r="D129" s="7">
        <v>2</v>
      </c>
      <c r="E129" s="6"/>
    </row>
    <row r="130" spans="1:5" x14ac:dyDescent="0.25">
      <c r="A130" s="7"/>
      <c r="B130" s="5" t="s">
        <v>71</v>
      </c>
      <c r="C130" s="7" t="s">
        <v>14</v>
      </c>
      <c r="D130" s="7">
        <v>3</v>
      </c>
      <c r="E130" s="6"/>
    </row>
    <row r="131" spans="1:5" x14ac:dyDescent="0.25">
      <c r="A131" s="7"/>
      <c r="B131" s="5" t="s">
        <v>69</v>
      </c>
      <c r="C131" s="7" t="s">
        <v>14</v>
      </c>
      <c r="D131" s="7">
        <v>2</v>
      </c>
      <c r="E131" s="6"/>
    </row>
    <row r="132" spans="1:5" x14ac:dyDescent="0.25">
      <c r="A132" s="7"/>
      <c r="B132" s="5" t="s">
        <v>72</v>
      </c>
      <c r="C132" s="7" t="s">
        <v>14</v>
      </c>
      <c r="D132" s="7">
        <v>1</v>
      </c>
      <c r="E132" s="6"/>
    </row>
    <row r="133" spans="1:5" x14ac:dyDescent="0.25">
      <c r="A133" s="7"/>
      <c r="B133" s="5" t="s">
        <v>68</v>
      </c>
      <c r="C133" s="7" t="s">
        <v>14</v>
      </c>
      <c r="D133" s="7">
        <v>1</v>
      </c>
      <c r="E133" s="6"/>
    </row>
    <row r="134" spans="1:5" x14ac:dyDescent="0.25">
      <c r="A134" s="7"/>
      <c r="B134" s="5" t="s">
        <v>150</v>
      </c>
      <c r="C134" s="7" t="s">
        <v>16</v>
      </c>
      <c r="D134" s="7">
        <f>18*1</f>
        <v>18</v>
      </c>
      <c r="E134" s="6"/>
    </row>
    <row r="135" spans="1:5" ht="45" x14ac:dyDescent="0.25">
      <c r="A135" s="7">
        <v>3</v>
      </c>
      <c r="B135" s="5" t="s">
        <v>86</v>
      </c>
      <c r="C135" s="7" t="s">
        <v>9</v>
      </c>
      <c r="D135" s="7">
        <f>3*0.6+0.33*0.6*2</f>
        <v>2.1959999999999997</v>
      </c>
      <c r="E135" s="6" t="s">
        <v>161</v>
      </c>
    </row>
    <row r="136" spans="1:5" x14ac:dyDescent="0.25">
      <c r="A136" s="7"/>
      <c r="B136" s="5" t="s">
        <v>159</v>
      </c>
      <c r="C136" s="7" t="s">
        <v>14</v>
      </c>
      <c r="D136" s="7">
        <v>6</v>
      </c>
      <c r="E136" s="6"/>
    </row>
    <row r="137" spans="1:5" x14ac:dyDescent="0.25">
      <c r="A137" s="7"/>
      <c r="B137" s="5" t="s">
        <v>150</v>
      </c>
      <c r="C137" s="7" t="s">
        <v>16</v>
      </c>
      <c r="D137" s="7">
        <v>24</v>
      </c>
      <c r="E137" s="6"/>
    </row>
    <row r="138" spans="1:5" x14ac:dyDescent="0.25">
      <c r="A138" s="7">
        <v>4</v>
      </c>
      <c r="B138" s="4" t="s">
        <v>12</v>
      </c>
      <c r="C138" s="8" t="s">
        <v>16</v>
      </c>
      <c r="D138" s="8">
        <f>12.3*0.58*2</f>
        <v>14.268000000000001</v>
      </c>
      <c r="E138" s="4" t="s">
        <v>20</v>
      </c>
    </row>
    <row r="139" spans="1:5" x14ac:dyDescent="0.25">
      <c r="A139" s="7">
        <v>5</v>
      </c>
      <c r="B139" s="4" t="s">
        <v>21</v>
      </c>
      <c r="C139" s="8" t="s">
        <v>16</v>
      </c>
      <c r="D139" s="8">
        <f>10.5*0.58*2</f>
        <v>12.18</v>
      </c>
      <c r="E139" s="4" t="s">
        <v>22</v>
      </c>
    </row>
    <row r="140" spans="1:5" x14ac:dyDescent="0.25">
      <c r="A140" s="7">
        <v>6</v>
      </c>
      <c r="B140" s="4" t="s">
        <v>15</v>
      </c>
      <c r="C140" s="8" t="s">
        <v>16</v>
      </c>
      <c r="D140" s="8">
        <f>8*8.86</f>
        <v>70.88</v>
      </c>
      <c r="E140" s="4" t="s">
        <v>39</v>
      </c>
    </row>
    <row r="141" spans="1:5" x14ac:dyDescent="0.25">
      <c r="A141" s="11">
        <v>7</v>
      </c>
      <c r="B141" s="4" t="s">
        <v>27</v>
      </c>
      <c r="C141" s="8" t="s">
        <v>28</v>
      </c>
      <c r="D141" s="8">
        <f>21.155*0.6</f>
        <v>12.693</v>
      </c>
      <c r="E141" s="4" t="s">
        <v>29</v>
      </c>
    </row>
    <row r="142" spans="1:5" x14ac:dyDescent="0.25">
      <c r="A142" s="15" t="s">
        <v>92</v>
      </c>
      <c r="B142" s="16"/>
      <c r="C142" s="16"/>
      <c r="D142" s="16"/>
      <c r="E142" s="17"/>
    </row>
    <row r="143" spans="1:5" x14ac:dyDescent="0.25">
      <c r="A143" s="7">
        <v>1</v>
      </c>
      <c r="B143" s="4" t="s">
        <v>8</v>
      </c>
      <c r="C143" s="8" t="s">
        <v>9</v>
      </c>
      <c r="D143" s="8">
        <f>3.34*0.1</f>
        <v>0.33400000000000002</v>
      </c>
      <c r="E143" s="4" t="s">
        <v>10</v>
      </c>
    </row>
    <row r="144" spans="1:5" ht="120" x14ac:dyDescent="0.25">
      <c r="A144" s="7">
        <v>2</v>
      </c>
      <c r="B144" s="5" t="s">
        <v>11</v>
      </c>
      <c r="C144" s="7" t="s">
        <v>9</v>
      </c>
      <c r="D144" s="7">
        <f>1.904*0.6</f>
        <v>1.1423999999999999</v>
      </c>
      <c r="E144" s="6" t="s">
        <v>44</v>
      </c>
    </row>
    <row r="145" spans="1:5" x14ac:dyDescent="0.25">
      <c r="A145" s="7"/>
      <c r="B145" s="5" t="s">
        <v>45</v>
      </c>
      <c r="C145" s="7" t="s">
        <v>14</v>
      </c>
      <c r="D145" s="7">
        <v>2</v>
      </c>
      <c r="E145" s="6"/>
    </row>
    <row r="146" spans="1:5" x14ac:dyDescent="0.25">
      <c r="A146" s="7"/>
      <c r="B146" s="5" t="s">
        <v>46</v>
      </c>
      <c r="C146" s="7" t="s">
        <v>14</v>
      </c>
      <c r="D146" s="7">
        <v>2</v>
      </c>
      <c r="E146" s="6"/>
    </row>
    <row r="147" spans="1:5" x14ac:dyDescent="0.25">
      <c r="A147" s="7"/>
      <c r="B147" s="5" t="s">
        <v>73</v>
      </c>
      <c r="C147" s="7" t="s">
        <v>14</v>
      </c>
      <c r="D147" s="7">
        <v>1</v>
      </c>
      <c r="E147" s="6"/>
    </row>
    <row r="148" spans="1:5" x14ac:dyDescent="0.25">
      <c r="A148" s="7"/>
      <c r="B148" s="5" t="s">
        <v>74</v>
      </c>
      <c r="C148" s="7" t="s">
        <v>14</v>
      </c>
      <c r="D148" s="7">
        <v>1</v>
      </c>
      <c r="E148" s="6"/>
    </row>
    <row r="149" spans="1:5" x14ac:dyDescent="0.25">
      <c r="A149" s="7"/>
      <c r="B149" s="5" t="s">
        <v>75</v>
      </c>
      <c r="C149" s="7" t="s">
        <v>14</v>
      </c>
      <c r="D149" s="7">
        <v>1</v>
      </c>
      <c r="E149" s="6"/>
    </row>
    <row r="150" spans="1:5" x14ac:dyDescent="0.25">
      <c r="A150" s="7"/>
      <c r="B150" s="5" t="s">
        <v>76</v>
      </c>
      <c r="C150" s="7" t="s">
        <v>14</v>
      </c>
      <c r="D150" s="7">
        <v>1</v>
      </c>
      <c r="E150" s="6"/>
    </row>
    <row r="151" spans="1:5" ht="45" x14ac:dyDescent="0.25">
      <c r="A151" s="7">
        <v>3</v>
      </c>
      <c r="B151" s="5" t="s">
        <v>86</v>
      </c>
      <c r="C151" s="7" t="s">
        <v>9</v>
      </c>
      <c r="D151" s="7">
        <f>0.33*0.6*2</f>
        <v>0.39600000000000002</v>
      </c>
      <c r="E151" s="6" t="s">
        <v>37</v>
      </c>
    </row>
    <row r="152" spans="1:5" x14ac:dyDescent="0.25">
      <c r="A152" s="7">
        <v>4</v>
      </c>
      <c r="B152" s="4" t="s">
        <v>12</v>
      </c>
      <c r="C152" s="8" t="s">
        <v>16</v>
      </c>
      <c r="D152" s="8">
        <f>12.3*0.58*2</f>
        <v>14.268000000000001</v>
      </c>
      <c r="E152" s="4" t="s">
        <v>20</v>
      </c>
    </row>
    <row r="153" spans="1:5" x14ac:dyDescent="0.25">
      <c r="A153" s="7">
        <v>6</v>
      </c>
      <c r="B153" s="4" t="s">
        <v>15</v>
      </c>
      <c r="C153" s="8" t="s">
        <v>16</v>
      </c>
      <c r="D153" s="8">
        <f>4*8.86</f>
        <v>35.44</v>
      </c>
      <c r="E153" s="4" t="s">
        <v>17</v>
      </c>
    </row>
    <row r="154" spans="1:5" x14ac:dyDescent="0.25">
      <c r="A154" s="11">
        <v>7</v>
      </c>
      <c r="B154" s="4" t="s">
        <v>27</v>
      </c>
      <c r="C154" s="8" t="s">
        <v>28</v>
      </c>
      <c r="D154" s="8">
        <f>7.577*0.6</f>
        <v>4.5461999999999998</v>
      </c>
      <c r="E154" s="4" t="s">
        <v>29</v>
      </c>
    </row>
    <row r="155" spans="1:5" x14ac:dyDescent="0.25">
      <c r="A155" s="15" t="s">
        <v>85</v>
      </c>
      <c r="B155" s="16"/>
      <c r="C155" s="16"/>
      <c r="D155" s="16"/>
      <c r="E155" s="17"/>
    </row>
    <row r="156" spans="1:5" x14ac:dyDescent="0.25">
      <c r="A156" s="7">
        <v>1</v>
      </c>
      <c r="B156" s="4" t="s">
        <v>8</v>
      </c>
      <c r="C156" s="8" t="s">
        <v>9</v>
      </c>
      <c r="D156" s="8">
        <f>4.116*0.1</f>
        <v>0.41159999999999997</v>
      </c>
      <c r="E156" s="4" t="s">
        <v>10</v>
      </c>
    </row>
    <row r="157" spans="1:5" ht="75" x14ac:dyDescent="0.25">
      <c r="A157" s="7">
        <v>2</v>
      </c>
      <c r="B157" s="5" t="s">
        <v>87</v>
      </c>
      <c r="C157" s="7" t="s">
        <v>9</v>
      </c>
      <c r="D157" s="7">
        <f>3.598*0.6</f>
        <v>2.1587999999999998</v>
      </c>
      <c r="E157" s="6" t="s">
        <v>162</v>
      </c>
    </row>
    <row r="158" spans="1:5" x14ac:dyDescent="0.25">
      <c r="A158" s="7"/>
      <c r="B158" s="5" t="s">
        <v>88</v>
      </c>
      <c r="C158" s="7" t="s">
        <v>14</v>
      </c>
      <c r="D158" s="7">
        <v>2</v>
      </c>
      <c r="E158" s="6"/>
    </row>
    <row r="159" spans="1:5" x14ac:dyDescent="0.25">
      <c r="A159" s="7"/>
      <c r="B159" s="5" t="s">
        <v>89</v>
      </c>
      <c r="C159" s="7" t="s">
        <v>14</v>
      </c>
      <c r="D159" s="7">
        <v>2</v>
      </c>
      <c r="E159" s="6"/>
    </row>
    <row r="160" spans="1:5" x14ac:dyDescent="0.25">
      <c r="A160" s="7"/>
      <c r="B160" s="5" t="s">
        <v>90</v>
      </c>
      <c r="C160" s="7" t="s">
        <v>14</v>
      </c>
      <c r="D160" s="7">
        <v>1</v>
      </c>
      <c r="E160" s="6"/>
    </row>
    <row r="161" spans="1:5" x14ac:dyDescent="0.25">
      <c r="A161" s="7"/>
      <c r="B161" s="5" t="s">
        <v>91</v>
      </c>
      <c r="C161" s="7" t="s">
        <v>14</v>
      </c>
      <c r="D161" s="7">
        <v>1</v>
      </c>
      <c r="E161" s="6"/>
    </row>
    <row r="162" spans="1:5" x14ac:dyDescent="0.25">
      <c r="A162" s="7"/>
      <c r="B162" s="5" t="s">
        <v>150</v>
      </c>
      <c r="C162" s="7" t="s">
        <v>16</v>
      </c>
      <c r="D162" s="7">
        <f>18*1</f>
        <v>18</v>
      </c>
      <c r="E162" s="6"/>
    </row>
    <row r="163" spans="1:5" x14ac:dyDescent="0.25">
      <c r="A163" s="7">
        <v>4</v>
      </c>
      <c r="B163" s="4" t="s">
        <v>12</v>
      </c>
      <c r="C163" s="8" t="s">
        <v>16</v>
      </c>
      <c r="D163" s="8">
        <f>12.3*0.58*3</f>
        <v>21.402000000000001</v>
      </c>
      <c r="E163" s="4" t="s">
        <v>20</v>
      </c>
    </row>
    <row r="164" spans="1:5" x14ac:dyDescent="0.25">
      <c r="A164" s="7">
        <v>5</v>
      </c>
      <c r="B164" s="4" t="s">
        <v>21</v>
      </c>
      <c r="C164" s="8" t="s">
        <v>16</v>
      </c>
      <c r="D164" s="8">
        <f>10.5*0.58</f>
        <v>6.09</v>
      </c>
      <c r="E164" s="4" t="s">
        <v>22</v>
      </c>
    </row>
    <row r="165" spans="1:5" x14ac:dyDescent="0.25">
      <c r="A165" s="7">
        <v>6</v>
      </c>
      <c r="B165" s="4" t="s">
        <v>15</v>
      </c>
      <c r="C165" s="8" t="s">
        <v>16</v>
      </c>
      <c r="D165" s="8">
        <f>8*8.86</f>
        <v>70.88</v>
      </c>
      <c r="E165" s="4" t="s">
        <v>39</v>
      </c>
    </row>
    <row r="166" spans="1:5" x14ac:dyDescent="0.25">
      <c r="A166" s="11">
        <v>7</v>
      </c>
      <c r="B166" s="4" t="s">
        <v>27</v>
      </c>
      <c r="C166" s="8" t="s">
        <v>28</v>
      </c>
      <c r="D166" s="8">
        <f>7.94*0.6</f>
        <v>4.7640000000000002</v>
      </c>
      <c r="E166" s="4" t="s">
        <v>29</v>
      </c>
    </row>
    <row r="167" spans="1:5" x14ac:dyDescent="0.25">
      <c r="A167" s="15" t="s">
        <v>108</v>
      </c>
      <c r="B167" s="16"/>
      <c r="C167" s="16"/>
      <c r="D167" s="16"/>
      <c r="E167" s="17"/>
    </row>
    <row r="168" spans="1:5" x14ac:dyDescent="0.25">
      <c r="A168" s="7">
        <v>1</v>
      </c>
      <c r="B168" s="4" t="s">
        <v>8</v>
      </c>
      <c r="C168" s="8" t="s">
        <v>9</v>
      </c>
      <c r="D168" s="8">
        <f>2.124*0.1</f>
        <v>0.21240000000000003</v>
      </c>
      <c r="E168" s="4" t="s">
        <v>10</v>
      </c>
    </row>
    <row r="169" spans="1:5" ht="105" x14ac:dyDescent="0.25">
      <c r="A169" s="7">
        <v>2</v>
      </c>
      <c r="B169" s="5" t="s">
        <v>11</v>
      </c>
      <c r="C169" s="7" t="s">
        <v>9</v>
      </c>
      <c r="D169" s="7">
        <f>1.623*0.6</f>
        <v>0.9738</v>
      </c>
      <c r="E169" s="6" t="s">
        <v>163</v>
      </c>
    </row>
    <row r="170" spans="1:5" x14ac:dyDescent="0.25">
      <c r="A170" s="7"/>
      <c r="B170" s="5" t="s">
        <v>45</v>
      </c>
      <c r="C170" s="7" t="s">
        <v>14</v>
      </c>
      <c r="D170" s="7">
        <v>1</v>
      </c>
      <c r="E170" s="6"/>
    </row>
    <row r="171" spans="1:5" x14ac:dyDescent="0.25">
      <c r="A171" s="7"/>
      <c r="B171" s="5" t="s">
        <v>46</v>
      </c>
      <c r="C171" s="7" t="s">
        <v>14</v>
      </c>
      <c r="D171" s="7">
        <v>3</v>
      </c>
      <c r="E171" s="6"/>
    </row>
    <row r="172" spans="1:5" x14ac:dyDescent="0.25">
      <c r="A172" s="7"/>
      <c r="B172" s="5" t="s">
        <v>52</v>
      </c>
      <c r="C172" s="7" t="s">
        <v>14</v>
      </c>
      <c r="D172" s="7">
        <v>1</v>
      </c>
      <c r="E172" s="6"/>
    </row>
    <row r="173" spans="1:5" x14ac:dyDescent="0.25">
      <c r="A173" s="7"/>
      <c r="B173" s="5" t="s">
        <v>82</v>
      </c>
      <c r="C173" s="7" t="s">
        <v>14</v>
      </c>
      <c r="D173" s="7">
        <v>1</v>
      </c>
      <c r="E173" s="6"/>
    </row>
    <row r="174" spans="1:5" x14ac:dyDescent="0.25">
      <c r="A174" s="7"/>
      <c r="B174" s="5" t="s">
        <v>109</v>
      </c>
      <c r="C174" s="7" t="s">
        <v>14</v>
      </c>
      <c r="D174" s="7">
        <v>1</v>
      </c>
      <c r="E174" s="6"/>
    </row>
    <row r="175" spans="1:5" x14ac:dyDescent="0.25">
      <c r="A175" s="7"/>
      <c r="B175" s="5" t="s">
        <v>110</v>
      </c>
      <c r="C175" s="7" t="s">
        <v>14</v>
      </c>
      <c r="D175" s="7">
        <v>1</v>
      </c>
      <c r="E175" s="6"/>
    </row>
    <row r="176" spans="1:5" x14ac:dyDescent="0.25">
      <c r="A176" s="7"/>
      <c r="B176" s="5" t="s">
        <v>150</v>
      </c>
      <c r="C176" s="7" t="s">
        <v>16</v>
      </c>
      <c r="D176" s="7">
        <v>9</v>
      </c>
      <c r="E176" s="6"/>
    </row>
    <row r="177" spans="1:5" x14ac:dyDescent="0.25">
      <c r="A177" s="7">
        <v>4</v>
      </c>
      <c r="B177" s="4" t="s">
        <v>12</v>
      </c>
      <c r="C177" s="8" t="s">
        <v>16</v>
      </c>
      <c r="D177" s="8">
        <f>12.3*0.58*2</f>
        <v>14.268000000000001</v>
      </c>
      <c r="E177" s="4" t="s">
        <v>20</v>
      </c>
    </row>
    <row r="178" spans="1:5" ht="15.75" customHeight="1" x14ac:dyDescent="0.25">
      <c r="A178" s="7">
        <v>6</v>
      </c>
      <c r="B178" s="4" t="s">
        <v>15</v>
      </c>
      <c r="C178" s="8" t="s">
        <v>16</v>
      </c>
      <c r="D178" s="8">
        <f>4*8.86</f>
        <v>35.44</v>
      </c>
      <c r="E178" s="4" t="s">
        <v>17</v>
      </c>
    </row>
    <row r="179" spans="1:5" x14ac:dyDescent="0.25">
      <c r="A179" s="11">
        <v>7</v>
      </c>
      <c r="B179" s="4" t="s">
        <v>27</v>
      </c>
      <c r="C179" s="8" t="s">
        <v>28</v>
      </c>
      <c r="D179" s="8">
        <f>4.946*0.6</f>
        <v>2.9675999999999996</v>
      </c>
      <c r="E179" s="4" t="s">
        <v>29</v>
      </c>
    </row>
    <row r="180" spans="1:5" x14ac:dyDescent="0.25">
      <c r="A180" s="15" t="s">
        <v>122</v>
      </c>
      <c r="B180" s="16"/>
      <c r="C180" s="16"/>
      <c r="D180" s="16"/>
      <c r="E180" s="17"/>
    </row>
    <row r="181" spans="1:5" x14ac:dyDescent="0.25">
      <c r="A181" s="7">
        <v>1</v>
      </c>
      <c r="B181" s="4" t="s">
        <v>8</v>
      </c>
      <c r="C181" s="8" t="s">
        <v>9</v>
      </c>
      <c r="D181" s="8">
        <f>6.925*0.1</f>
        <v>0.6925</v>
      </c>
      <c r="E181" s="4" t="s">
        <v>10</v>
      </c>
    </row>
    <row r="182" spans="1:5" ht="105" x14ac:dyDescent="0.25">
      <c r="A182" s="7">
        <v>2</v>
      </c>
      <c r="B182" s="5" t="s">
        <v>11</v>
      </c>
      <c r="C182" s="7" t="s">
        <v>9</v>
      </c>
      <c r="D182" s="7">
        <f>1.52*0.6*2</f>
        <v>1.8239999999999998</v>
      </c>
      <c r="E182" s="6" t="s">
        <v>125</v>
      </c>
    </row>
    <row r="183" spans="1:5" x14ac:dyDescent="0.25">
      <c r="A183" s="7"/>
      <c r="B183" s="5" t="s">
        <v>45</v>
      </c>
      <c r="C183" s="7" t="s">
        <v>14</v>
      </c>
      <c r="D183" s="7">
        <v>4</v>
      </c>
      <c r="E183" s="6"/>
    </row>
    <row r="184" spans="1:5" x14ac:dyDescent="0.25">
      <c r="A184" s="7"/>
      <c r="B184" s="5" t="s">
        <v>46</v>
      </c>
      <c r="C184" s="7" t="s">
        <v>14</v>
      </c>
      <c r="D184" s="7">
        <v>6</v>
      </c>
      <c r="E184" s="6"/>
    </row>
    <row r="185" spans="1:5" x14ac:dyDescent="0.25">
      <c r="A185" s="7"/>
      <c r="B185" s="5" t="s">
        <v>47</v>
      </c>
      <c r="C185" s="7" t="s">
        <v>14</v>
      </c>
      <c r="D185" s="7">
        <v>2</v>
      </c>
      <c r="E185" s="6"/>
    </row>
    <row r="186" spans="1:5" x14ac:dyDescent="0.25">
      <c r="A186" s="7"/>
      <c r="B186" s="5" t="s">
        <v>48</v>
      </c>
      <c r="C186" s="7" t="s">
        <v>14</v>
      </c>
      <c r="D186" s="7">
        <v>2</v>
      </c>
      <c r="E186" s="6"/>
    </row>
    <row r="187" spans="1:5" x14ac:dyDescent="0.25">
      <c r="A187" s="7"/>
      <c r="B187" s="5" t="s">
        <v>49</v>
      </c>
      <c r="C187" s="7" t="s">
        <v>14</v>
      </c>
      <c r="D187" s="7">
        <v>2</v>
      </c>
      <c r="E187" s="6"/>
    </row>
    <row r="188" spans="1:5" ht="75" x14ac:dyDescent="0.25">
      <c r="A188" s="7">
        <v>3</v>
      </c>
      <c r="B188" s="5" t="s">
        <v>86</v>
      </c>
      <c r="C188" s="7" t="s">
        <v>9</v>
      </c>
      <c r="D188" s="7">
        <f>1.99*0.6</f>
        <v>1.194</v>
      </c>
      <c r="E188" s="6" t="s">
        <v>126</v>
      </c>
    </row>
    <row r="189" spans="1:5" x14ac:dyDescent="0.25">
      <c r="A189" s="7"/>
      <c r="B189" s="5" t="s">
        <v>123</v>
      </c>
      <c r="C189" s="7" t="s">
        <v>14</v>
      </c>
      <c r="D189" s="7">
        <v>2</v>
      </c>
      <c r="E189" s="6"/>
    </row>
    <row r="190" spans="1:5" x14ac:dyDescent="0.25">
      <c r="A190" s="7"/>
      <c r="B190" s="5" t="s">
        <v>124</v>
      </c>
      <c r="C190" s="7" t="s">
        <v>14</v>
      </c>
      <c r="D190" s="7">
        <v>1</v>
      </c>
      <c r="E190" s="6"/>
    </row>
    <row r="191" spans="1:5" x14ac:dyDescent="0.25">
      <c r="A191" s="7"/>
      <c r="B191" s="5" t="s">
        <v>118</v>
      </c>
      <c r="C191" s="7" t="s">
        <v>16</v>
      </c>
      <c r="D191" s="7">
        <v>14.52</v>
      </c>
      <c r="E191" s="6"/>
    </row>
    <row r="192" spans="1:5" x14ac:dyDescent="0.25">
      <c r="A192" s="7"/>
      <c r="B192" s="5" t="s">
        <v>119</v>
      </c>
      <c r="C192" s="7" t="s">
        <v>16</v>
      </c>
      <c r="D192" s="7">
        <v>7.76</v>
      </c>
      <c r="E192" s="6"/>
    </row>
    <row r="193" spans="1:5" x14ac:dyDescent="0.25">
      <c r="A193" s="7"/>
      <c r="B193" s="5" t="s">
        <v>120</v>
      </c>
      <c r="C193" s="7" t="s">
        <v>16</v>
      </c>
      <c r="D193" s="7">
        <v>6.56</v>
      </c>
      <c r="E193" s="6"/>
    </row>
    <row r="194" spans="1:5" x14ac:dyDescent="0.25">
      <c r="A194" s="7">
        <v>4</v>
      </c>
      <c r="B194" s="4" t="s">
        <v>12</v>
      </c>
      <c r="C194" s="8" t="s">
        <v>16</v>
      </c>
      <c r="D194" s="8">
        <f>12.3*0.58*2</f>
        <v>14.268000000000001</v>
      </c>
      <c r="E194" s="4" t="s">
        <v>20</v>
      </c>
    </row>
    <row r="195" spans="1:5" x14ac:dyDescent="0.25">
      <c r="A195" s="7">
        <v>5</v>
      </c>
      <c r="B195" s="4" t="s">
        <v>21</v>
      </c>
      <c r="C195" s="8" t="s">
        <v>16</v>
      </c>
      <c r="D195" s="8">
        <f>10.5*0.58*2</f>
        <v>12.18</v>
      </c>
      <c r="E195" s="4" t="s">
        <v>22</v>
      </c>
    </row>
    <row r="196" spans="1:5" x14ac:dyDescent="0.25">
      <c r="A196" s="7">
        <v>6</v>
      </c>
      <c r="B196" s="4" t="s">
        <v>15</v>
      </c>
      <c r="C196" s="8" t="s">
        <v>16</v>
      </c>
      <c r="D196" s="8">
        <f>8*8.86</f>
        <v>70.88</v>
      </c>
      <c r="E196" s="4" t="s">
        <v>39</v>
      </c>
    </row>
    <row r="197" spans="1:5" x14ac:dyDescent="0.25">
      <c r="A197" s="11">
        <v>7</v>
      </c>
      <c r="B197" s="4" t="s">
        <v>27</v>
      </c>
      <c r="C197" s="8" t="s">
        <v>28</v>
      </c>
      <c r="D197" s="8">
        <f>18.845*0.6</f>
        <v>11.306999999999999</v>
      </c>
      <c r="E197" s="4" t="s">
        <v>29</v>
      </c>
    </row>
    <row r="198" spans="1:5" x14ac:dyDescent="0.25">
      <c r="A198" s="15" t="s">
        <v>127</v>
      </c>
      <c r="B198" s="16"/>
      <c r="C198" s="16"/>
      <c r="D198" s="16"/>
      <c r="E198" s="17"/>
    </row>
    <row r="199" spans="1:5" x14ac:dyDescent="0.25">
      <c r="A199" s="7">
        <v>1</v>
      </c>
      <c r="B199" s="4" t="s">
        <v>8</v>
      </c>
      <c r="C199" s="8" t="s">
        <v>9</v>
      </c>
      <c r="D199" s="8">
        <f>8.67*0.1</f>
        <v>0.86699999999999999</v>
      </c>
      <c r="E199" s="4" t="s">
        <v>10</v>
      </c>
    </row>
    <row r="200" spans="1:5" ht="180" x14ac:dyDescent="0.25">
      <c r="A200" s="7">
        <v>2</v>
      </c>
      <c r="B200" s="5" t="s">
        <v>11</v>
      </c>
      <c r="C200" s="7" t="s">
        <v>9</v>
      </c>
      <c r="D200" s="7">
        <f>1.52*0.6*2+2.04*0.6</f>
        <v>3.048</v>
      </c>
      <c r="E200" s="6" t="s">
        <v>164</v>
      </c>
    </row>
    <row r="201" spans="1:5" x14ac:dyDescent="0.25">
      <c r="A201" s="7"/>
      <c r="B201" s="5" t="s">
        <v>45</v>
      </c>
      <c r="C201" s="7" t="s">
        <v>14</v>
      </c>
      <c r="D201" s="7">
        <v>5</v>
      </c>
      <c r="E201" s="6"/>
    </row>
    <row r="202" spans="1:5" x14ac:dyDescent="0.25">
      <c r="A202" s="7"/>
      <c r="B202" s="5" t="s">
        <v>46</v>
      </c>
      <c r="C202" s="7" t="s">
        <v>14</v>
      </c>
      <c r="D202" s="7">
        <v>7</v>
      </c>
      <c r="E202" s="6"/>
    </row>
    <row r="203" spans="1:5" x14ac:dyDescent="0.25">
      <c r="A203" s="7"/>
      <c r="B203" s="5" t="s">
        <v>47</v>
      </c>
      <c r="C203" s="7" t="s">
        <v>14</v>
      </c>
      <c r="D203" s="7">
        <v>2</v>
      </c>
      <c r="E203" s="6"/>
    </row>
    <row r="204" spans="1:5" x14ac:dyDescent="0.25">
      <c r="A204" s="7"/>
      <c r="B204" s="5" t="s">
        <v>128</v>
      </c>
      <c r="C204" s="7" t="s">
        <v>14</v>
      </c>
      <c r="D204" s="7">
        <v>1</v>
      </c>
      <c r="E204" s="6"/>
    </row>
    <row r="205" spans="1:5" x14ac:dyDescent="0.25">
      <c r="A205" s="7"/>
      <c r="B205" s="5" t="s">
        <v>129</v>
      </c>
      <c r="C205" s="7" t="s">
        <v>14</v>
      </c>
      <c r="D205" s="7">
        <v>1</v>
      </c>
      <c r="E205" s="6"/>
    </row>
    <row r="206" spans="1:5" x14ac:dyDescent="0.25">
      <c r="A206" s="7"/>
      <c r="B206" s="5" t="s">
        <v>48</v>
      </c>
      <c r="C206" s="7" t="s">
        <v>14</v>
      </c>
      <c r="D206" s="7">
        <v>2</v>
      </c>
      <c r="E206" s="6"/>
    </row>
    <row r="207" spans="1:5" x14ac:dyDescent="0.25">
      <c r="A207" s="7"/>
      <c r="B207" s="5" t="s">
        <v>49</v>
      </c>
      <c r="C207" s="7" t="s">
        <v>14</v>
      </c>
      <c r="D207" s="7">
        <v>2</v>
      </c>
      <c r="E207" s="6"/>
    </row>
    <row r="208" spans="1:5" x14ac:dyDescent="0.25">
      <c r="A208" s="7"/>
      <c r="B208" s="5" t="s">
        <v>130</v>
      </c>
      <c r="C208" s="7" t="s">
        <v>14</v>
      </c>
      <c r="D208" s="7">
        <v>1</v>
      </c>
      <c r="E208" s="6"/>
    </row>
    <row r="209" spans="1:5" x14ac:dyDescent="0.25">
      <c r="A209" s="7"/>
      <c r="B209" s="5" t="s">
        <v>131</v>
      </c>
      <c r="C209" s="7" t="s">
        <v>14</v>
      </c>
      <c r="D209" s="7">
        <v>1</v>
      </c>
      <c r="E209" s="6"/>
    </row>
    <row r="210" spans="1:5" x14ac:dyDescent="0.25">
      <c r="A210" s="7"/>
      <c r="B210" s="5" t="s">
        <v>150</v>
      </c>
      <c r="C210" s="7" t="s">
        <v>16</v>
      </c>
      <c r="D210" s="7">
        <f>9+12+9</f>
        <v>30</v>
      </c>
      <c r="E210" s="6"/>
    </row>
    <row r="211" spans="1:5" ht="90" x14ac:dyDescent="0.25">
      <c r="A211" s="7">
        <v>3</v>
      </c>
      <c r="B211" s="5" t="s">
        <v>86</v>
      </c>
      <c r="C211" s="7" t="s">
        <v>9</v>
      </c>
      <c r="D211" s="7">
        <f>0.746*0.6*2</f>
        <v>0.8952</v>
      </c>
      <c r="E211" s="6" t="s">
        <v>165</v>
      </c>
    </row>
    <row r="212" spans="1:5" x14ac:dyDescent="0.25">
      <c r="A212" s="7"/>
      <c r="B212" s="5" t="s">
        <v>123</v>
      </c>
      <c r="C212" s="7" t="s">
        <v>14</v>
      </c>
      <c r="D212" s="7">
        <v>2</v>
      </c>
      <c r="E212" s="6"/>
    </row>
    <row r="213" spans="1:5" x14ac:dyDescent="0.25">
      <c r="A213" s="7"/>
      <c r="B213" s="5" t="s">
        <v>124</v>
      </c>
      <c r="C213" s="7" t="s">
        <v>14</v>
      </c>
      <c r="D213" s="7">
        <v>1</v>
      </c>
      <c r="E213" s="6"/>
    </row>
    <row r="214" spans="1:5" x14ac:dyDescent="0.25">
      <c r="A214" s="7"/>
      <c r="B214" s="5" t="s">
        <v>118</v>
      </c>
      <c r="C214" s="7" t="s">
        <v>16</v>
      </c>
      <c r="D214" s="7">
        <v>10.56</v>
      </c>
      <c r="E214" s="6"/>
    </row>
    <row r="215" spans="1:5" x14ac:dyDescent="0.25">
      <c r="A215" s="7"/>
      <c r="B215" s="5" t="s">
        <v>119</v>
      </c>
      <c r="C215" s="7" t="s">
        <v>16</v>
      </c>
      <c r="D215" s="7">
        <v>9.24</v>
      </c>
      <c r="E215" s="6"/>
    </row>
    <row r="216" spans="1:5" x14ac:dyDescent="0.25">
      <c r="A216" s="7"/>
      <c r="B216" s="5" t="s">
        <v>120</v>
      </c>
      <c r="C216" s="7" t="s">
        <v>16</v>
      </c>
      <c r="D216" s="7">
        <v>6.56</v>
      </c>
      <c r="E216" s="6"/>
    </row>
    <row r="217" spans="1:5" x14ac:dyDescent="0.25">
      <c r="A217" s="7"/>
      <c r="B217" s="5" t="s">
        <v>150</v>
      </c>
      <c r="C217" s="7" t="s">
        <v>16</v>
      </c>
      <c r="D217" s="7">
        <f>9</f>
        <v>9</v>
      </c>
      <c r="E217" s="6"/>
    </row>
    <row r="218" spans="1:5" x14ac:dyDescent="0.25">
      <c r="A218" s="7">
        <v>4</v>
      </c>
      <c r="B218" s="4" t="s">
        <v>12</v>
      </c>
      <c r="C218" s="8" t="s">
        <v>16</v>
      </c>
      <c r="D218" s="8">
        <f>12.3*0.58*3</f>
        <v>21.402000000000001</v>
      </c>
      <c r="E218" s="4" t="s">
        <v>20</v>
      </c>
    </row>
    <row r="219" spans="1:5" x14ac:dyDescent="0.25">
      <c r="A219" s="7">
        <v>5</v>
      </c>
      <c r="B219" s="4" t="s">
        <v>21</v>
      </c>
      <c r="C219" s="8" t="s">
        <v>16</v>
      </c>
      <c r="D219" s="8">
        <f>10.5*0.58*3</f>
        <v>18.27</v>
      </c>
      <c r="E219" s="4" t="s">
        <v>22</v>
      </c>
    </row>
    <row r="220" spans="1:5" x14ac:dyDescent="0.25">
      <c r="A220" s="7">
        <v>6</v>
      </c>
      <c r="B220" s="4" t="s">
        <v>15</v>
      </c>
      <c r="C220" s="8" t="s">
        <v>16</v>
      </c>
      <c r="D220" s="8">
        <f>12*8.86</f>
        <v>106.32</v>
      </c>
      <c r="E220" s="4" t="s">
        <v>39</v>
      </c>
    </row>
    <row r="221" spans="1:5" x14ac:dyDescent="0.25">
      <c r="A221" s="11">
        <v>7</v>
      </c>
      <c r="B221" s="4" t="s">
        <v>27</v>
      </c>
      <c r="C221" s="8" t="s">
        <v>28</v>
      </c>
      <c r="D221" s="8">
        <f>21.144*0.6</f>
        <v>12.686399999999999</v>
      </c>
      <c r="E221" s="4" t="s">
        <v>29</v>
      </c>
    </row>
    <row r="222" spans="1:5" x14ac:dyDescent="0.25">
      <c r="A222" s="15" t="s">
        <v>135</v>
      </c>
      <c r="B222" s="16"/>
      <c r="C222" s="16"/>
      <c r="D222" s="16"/>
      <c r="E222" s="17"/>
    </row>
    <row r="223" spans="1:5" x14ac:dyDescent="0.25">
      <c r="A223" s="7">
        <v>1</v>
      </c>
      <c r="B223" s="4" t="s">
        <v>8</v>
      </c>
      <c r="C223" s="8" t="s">
        <v>9</v>
      </c>
      <c r="D223" s="8">
        <f>1.376*0.1</f>
        <v>0.1376</v>
      </c>
      <c r="E223" s="4" t="s">
        <v>10</v>
      </c>
    </row>
    <row r="224" spans="1:5" ht="30" x14ac:dyDescent="0.25">
      <c r="A224" s="7">
        <v>2</v>
      </c>
      <c r="B224" s="5" t="s">
        <v>86</v>
      </c>
      <c r="C224" s="7" t="s">
        <v>9</v>
      </c>
      <c r="D224" s="7">
        <f>0.912*0.6</f>
        <v>0.54720000000000002</v>
      </c>
      <c r="E224" s="6" t="s">
        <v>144</v>
      </c>
    </row>
    <row r="225" spans="1:5" x14ac:dyDescent="0.25">
      <c r="A225" s="7"/>
      <c r="B225" s="5" t="s">
        <v>134</v>
      </c>
      <c r="C225" s="7" t="s">
        <v>14</v>
      </c>
      <c r="D225" s="7">
        <v>4</v>
      </c>
      <c r="E225" s="6"/>
    </row>
    <row r="226" spans="1:5" x14ac:dyDescent="0.25">
      <c r="A226" s="7"/>
      <c r="B226" s="5" t="s">
        <v>118</v>
      </c>
      <c r="C226" s="7" t="s">
        <v>16</v>
      </c>
      <c r="D226" s="7">
        <v>7</v>
      </c>
      <c r="E226" s="6"/>
    </row>
    <row r="227" spans="1:5" x14ac:dyDescent="0.25">
      <c r="A227" s="7">
        <v>4</v>
      </c>
      <c r="B227" s="4" t="s">
        <v>132</v>
      </c>
      <c r="C227" s="8" t="s">
        <v>16</v>
      </c>
      <c r="D227" s="8">
        <f>3.9*2</f>
        <v>7.8</v>
      </c>
      <c r="E227" s="4" t="s">
        <v>133</v>
      </c>
    </row>
    <row r="228" spans="1:5" x14ac:dyDescent="0.25">
      <c r="A228" s="11">
        <v>7</v>
      </c>
      <c r="B228" s="4" t="s">
        <v>27</v>
      </c>
      <c r="C228" s="8" t="s">
        <v>28</v>
      </c>
      <c r="D228" s="8">
        <f>4.24*0.6</f>
        <v>2.544</v>
      </c>
      <c r="E228" s="4" t="s">
        <v>29</v>
      </c>
    </row>
    <row r="229" spans="1:5" x14ac:dyDescent="0.25">
      <c r="A229" s="15" t="s">
        <v>136</v>
      </c>
      <c r="B229" s="16"/>
      <c r="C229" s="16"/>
      <c r="D229" s="16"/>
      <c r="E229" s="17"/>
    </row>
    <row r="230" spans="1:5" x14ac:dyDescent="0.25">
      <c r="A230" s="7">
        <v>1</v>
      </c>
      <c r="B230" s="4" t="s">
        <v>8</v>
      </c>
      <c r="C230" s="8" t="s">
        <v>9</v>
      </c>
      <c r="D230" s="8">
        <f>0.64*0.1</f>
        <v>6.4000000000000001E-2</v>
      </c>
      <c r="E230" s="4" t="s">
        <v>10</v>
      </c>
    </row>
    <row r="231" spans="1:5" ht="60" x14ac:dyDescent="0.25">
      <c r="A231" s="7">
        <v>2</v>
      </c>
      <c r="B231" s="5" t="s">
        <v>138</v>
      </c>
      <c r="C231" s="7" t="s">
        <v>9</v>
      </c>
      <c r="D231" s="7">
        <f>0.36*0.6</f>
        <v>0.216</v>
      </c>
      <c r="E231" s="6" t="s">
        <v>143</v>
      </c>
    </row>
    <row r="232" spans="1:5" x14ac:dyDescent="0.25">
      <c r="A232" s="7"/>
      <c r="B232" s="5" t="s">
        <v>139</v>
      </c>
      <c r="C232" s="7" t="s">
        <v>14</v>
      </c>
      <c r="D232" s="7">
        <v>2</v>
      </c>
      <c r="E232" s="6"/>
    </row>
    <row r="233" spans="1:5" x14ac:dyDescent="0.25">
      <c r="A233" s="7"/>
      <c r="B233" s="5" t="s">
        <v>140</v>
      </c>
      <c r="C233" s="7" t="s">
        <v>14</v>
      </c>
      <c r="D233" s="7">
        <v>2</v>
      </c>
      <c r="E233" s="6"/>
    </row>
    <row r="234" spans="1:5" x14ac:dyDescent="0.25">
      <c r="A234" s="7"/>
      <c r="B234" s="5" t="s">
        <v>141</v>
      </c>
      <c r="C234" s="7" t="s">
        <v>14</v>
      </c>
      <c r="D234" s="7">
        <v>1</v>
      </c>
      <c r="E234" s="6"/>
    </row>
    <row r="235" spans="1:5" x14ac:dyDescent="0.25">
      <c r="A235" s="7"/>
      <c r="B235" s="5" t="s">
        <v>142</v>
      </c>
      <c r="C235" s="7" t="s">
        <v>16</v>
      </c>
      <c r="D235" s="7">
        <v>1</v>
      </c>
      <c r="E235" s="6"/>
    </row>
    <row r="236" spans="1:5" x14ac:dyDescent="0.25">
      <c r="A236" s="7">
        <v>4</v>
      </c>
      <c r="B236" s="4" t="s">
        <v>132</v>
      </c>
      <c r="C236" s="8" t="s">
        <v>16</v>
      </c>
      <c r="D236" s="8">
        <v>3.9</v>
      </c>
      <c r="E236" s="4" t="s">
        <v>133</v>
      </c>
    </row>
    <row r="237" spans="1:5" x14ac:dyDescent="0.25">
      <c r="A237" s="11">
        <v>7</v>
      </c>
      <c r="B237" s="4" t="s">
        <v>27</v>
      </c>
      <c r="C237" s="8" t="s">
        <v>28</v>
      </c>
      <c r="D237" s="8">
        <f>2.4*0.6</f>
        <v>1.44</v>
      </c>
      <c r="E237" s="4" t="s">
        <v>29</v>
      </c>
    </row>
    <row r="238" spans="1:5" x14ac:dyDescent="0.25">
      <c r="A238" s="15" t="s">
        <v>137</v>
      </c>
      <c r="B238" s="16"/>
      <c r="C238" s="16"/>
      <c r="D238" s="16"/>
      <c r="E238" s="17"/>
    </row>
    <row r="239" spans="1:5" x14ac:dyDescent="0.25">
      <c r="A239" s="7">
        <v>1</v>
      </c>
      <c r="B239" s="4" t="s">
        <v>8</v>
      </c>
      <c r="C239" s="8" t="s">
        <v>9</v>
      </c>
      <c r="D239" s="8">
        <f>1.48*0.1</f>
        <v>0.14799999999999999</v>
      </c>
      <c r="E239" s="4" t="s">
        <v>10</v>
      </c>
    </row>
    <row r="240" spans="1:5" ht="30" x14ac:dyDescent="0.25">
      <c r="A240" s="7">
        <v>2</v>
      </c>
      <c r="B240" s="5" t="s">
        <v>86</v>
      </c>
      <c r="C240" s="7" t="s">
        <v>9</v>
      </c>
      <c r="D240" s="7">
        <f>0.99*0.6</f>
        <v>0.59399999999999997</v>
      </c>
      <c r="E240" s="6" t="s">
        <v>146</v>
      </c>
    </row>
    <row r="241" spans="1:5" x14ac:dyDescent="0.25">
      <c r="A241" s="7"/>
      <c r="B241" s="5" t="s">
        <v>145</v>
      </c>
      <c r="C241" s="7" t="s">
        <v>14</v>
      </c>
      <c r="D241" s="7">
        <v>4</v>
      </c>
      <c r="E241" s="6"/>
    </row>
    <row r="242" spans="1:5" x14ac:dyDescent="0.25">
      <c r="A242" s="7"/>
      <c r="B242" s="5" t="s">
        <v>118</v>
      </c>
      <c r="C242" s="7" t="s">
        <v>16</v>
      </c>
      <c r="D242" s="7">
        <v>7.7</v>
      </c>
      <c r="E242" s="6"/>
    </row>
    <row r="243" spans="1:5" x14ac:dyDescent="0.25">
      <c r="A243" s="7">
        <v>4</v>
      </c>
      <c r="B243" s="4" t="s">
        <v>132</v>
      </c>
      <c r="C243" s="8" t="s">
        <v>16</v>
      </c>
      <c r="D243" s="8">
        <f>3.9*2</f>
        <v>7.8</v>
      </c>
      <c r="E243" s="4" t="s">
        <v>133</v>
      </c>
    </row>
    <row r="244" spans="1:5" x14ac:dyDescent="0.25">
      <c r="A244" s="11">
        <v>7</v>
      </c>
      <c r="B244" s="4" t="s">
        <v>27</v>
      </c>
      <c r="C244" s="8" t="s">
        <v>28</v>
      </c>
      <c r="D244" s="8">
        <f>4.5*0.6</f>
        <v>2.6999999999999997</v>
      </c>
      <c r="E244" s="4" t="s">
        <v>29</v>
      </c>
    </row>
    <row r="245" spans="1:5" x14ac:dyDescent="0.25">
      <c r="A245" s="15" t="s">
        <v>147</v>
      </c>
      <c r="B245" s="16"/>
      <c r="C245" s="16"/>
      <c r="D245" s="16"/>
      <c r="E245" s="17"/>
    </row>
    <row r="246" spans="1:5" x14ac:dyDescent="0.25">
      <c r="A246" s="7">
        <v>1</v>
      </c>
      <c r="B246" s="4" t="s">
        <v>8</v>
      </c>
      <c r="C246" s="8" t="s">
        <v>9</v>
      </c>
      <c r="D246" s="8">
        <f>2.57*0.1</f>
        <v>0.25700000000000001</v>
      </c>
      <c r="E246" s="4" t="s">
        <v>10</v>
      </c>
    </row>
    <row r="247" spans="1:5" ht="90" x14ac:dyDescent="0.25">
      <c r="A247" s="7">
        <v>2</v>
      </c>
      <c r="B247" s="5" t="s">
        <v>11</v>
      </c>
      <c r="C247" s="7" t="s">
        <v>9</v>
      </c>
      <c r="D247" s="7">
        <f>2.01*0.6</f>
        <v>1.2059999999999997</v>
      </c>
      <c r="E247" s="6" t="s">
        <v>149</v>
      </c>
    </row>
    <row r="248" spans="1:5" x14ac:dyDescent="0.25">
      <c r="A248" s="7"/>
      <c r="B248" s="5" t="s">
        <v>45</v>
      </c>
      <c r="C248" s="7" t="s">
        <v>14</v>
      </c>
      <c r="D248" s="7">
        <v>2</v>
      </c>
      <c r="E248" s="6"/>
    </row>
    <row r="249" spans="1:5" x14ac:dyDescent="0.25">
      <c r="A249" s="7"/>
      <c r="B249" s="5" t="s">
        <v>46</v>
      </c>
      <c r="C249" s="7" t="s">
        <v>14</v>
      </c>
      <c r="D249" s="7">
        <v>3</v>
      </c>
      <c r="E249" s="6"/>
    </row>
    <row r="250" spans="1:5" x14ac:dyDescent="0.25">
      <c r="A250" s="7"/>
      <c r="B250" s="5" t="s">
        <v>47</v>
      </c>
      <c r="C250" s="7" t="s">
        <v>14</v>
      </c>
      <c r="D250" s="7">
        <v>1</v>
      </c>
      <c r="E250" s="6"/>
    </row>
    <row r="251" spans="1:5" ht="15.75" customHeight="1" x14ac:dyDescent="0.25">
      <c r="A251" s="7"/>
      <c r="B251" s="5" t="s">
        <v>49</v>
      </c>
      <c r="C251" s="7" t="s">
        <v>14</v>
      </c>
      <c r="D251" s="7">
        <v>1</v>
      </c>
      <c r="E251" s="6"/>
    </row>
    <row r="252" spans="1:5" ht="15.75" customHeight="1" x14ac:dyDescent="0.25">
      <c r="A252" s="7"/>
      <c r="B252" s="5" t="s">
        <v>148</v>
      </c>
      <c r="C252" s="7" t="s">
        <v>14</v>
      </c>
      <c r="D252" s="7">
        <v>1</v>
      </c>
      <c r="E252" s="6"/>
    </row>
    <row r="253" spans="1:5" x14ac:dyDescent="0.25">
      <c r="A253" s="7">
        <v>3</v>
      </c>
      <c r="B253" s="4" t="s">
        <v>12</v>
      </c>
      <c r="C253" s="8" t="s">
        <v>16</v>
      </c>
      <c r="D253" s="8">
        <f>12.3*0.58*2</f>
        <v>14.268000000000001</v>
      </c>
      <c r="E253" s="4" t="s">
        <v>20</v>
      </c>
    </row>
    <row r="254" spans="1:5" x14ac:dyDescent="0.25">
      <c r="A254" s="7">
        <v>4</v>
      </c>
      <c r="B254" s="4" t="s">
        <v>15</v>
      </c>
      <c r="C254" s="8" t="s">
        <v>16</v>
      </c>
      <c r="D254" s="8">
        <f>4*8.86</f>
        <v>35.44</v>
      </c>
      <c r="E254" s="4" t="s">
        <v>17</v>
      </c>
    </row>
    <row r="255" spans="1:5" x14ac:dyDescent="0.25">
      <c r="A255" s="11">
        <v>5</v>
      </c>
      <c r="B255" s="4" t="s">
        <v>27</v>
      </c>
      <c r="C255" s="8" t="s">
        <v>28</v>
      </c>
      <c r="D255" s="8">
        <f>5.477*0.6</f>
        <v>3.2862</v>
      </c>
      <c r="E255" s="4" t="s">
        <v>29</v>
      </c>
    </row>
    <row r="256" spans="1:5" ht="15.75" customHeight="1" x14ac:dyDescent="0.25">
      <c r="A256" s="18" t="s">
        <v>41</v>
      </c>
      <c r="B256" s="19"/>
      <c r="C256" s="19"/>
      <c r="D256" s="19"/>
      <c r="E256" s="20"/>
    </row>
    <row r="257" spans="1:5" x14ac:dyDescent="0.25">
      <c r="A257" s="12" t="s">
        <v>40</v>
      </c>
      <c r="B257" s="13"/>
      <c r="C257" s="13"/>
      <c r="D257" s="13"/>
      <c r="E257" s="14"/>
    </row>
    <row r="258" spans="1:5" x14ac:dyDescent="0.25">
      <c r="A258" s="7">
        <v>1</v>
      </c>
      <c r="B258" s="4" t="s">
        <v>8</v>
      </c>
      <c r="C258" s="8" t="s">
        <v>9</v>
      </c>
      <c r="D258" s="8">
        <f>2.011*0.1</f>
        <v>0.20110000000000003</v>
      </c>
      <c r="E258" s="4" t="s">
        <v>10</v>
      </c>
    </row>
    <row r="259" spans="1:5" ht="105" x14ac:dyDescent="0.25">
      <c r="A259" s="7">
        <v>2</v>
      </c>
      <c r="B259" s="5" t="s">
        <v>11</v>
      </c>
      <c r="C259" s="7" t="s">
        <v>9</v>
      </c>
      <c r="D259" s="7">
        <f>1.52*0.6</f>
        <v>0.91199999999999992</v>
      </c>
      <c r="E259" s="6" t="s">
        <v>166</v>
      </c>
    </row>
    <row r="260" spans="1:5" x14ac:dyDescent="0.25">
      <c r="A260" s="7"/>
      <c r="B260" s="5" t="s">
        <v>45</v>
      </c>
      <c r="C260" s="7" t="s">
        <v>14</v>
      </c>
      <c r="D260" s="7">
        <v>2</v>
      </c>
      <c r="E260" s="6"/>
    </row>
    <row r="261" spans="1:5" x14ac:dyDescent="0.25">
      <c r="A261" s="7"/>
      <c r="B261" s="5" t="s">
        <v>46</v>
      </c>
      <c r="C261" s="7" t="s">
        <v>14</v>
      </c>
      <c r="D261" s="7">
        <v>3</v>
      </c>
      <c r="E261" s="6"/>
    </row>
    <row r="262" spans="1:5" x14ac:dyDescent="0.25">
      <c r="A262" s="7"/>
      <c r="B262" s="5" t="s">
        <v>47</v>
      </c>
      <c r="C262" s="7" t="s">
        <v>14</v>
      </c>
      <c r="D262" s="7">
        <v>1</v>
      </c>
      <c r="E262" s="6"/>
    </row>
    <row r="263" spans="1:5" x14ac:dyDescent="0.25">
      <c r="A263" s="7"/>
      <c r="B263" s="5" t="s">
        <v>77</v>
      </c>
      <c r="C263" s="7" t="s">
        <v>14</v>
      </c>
      <c r="D263" s="7">
        <v>1</v>
      </c>
      <c r="E263" s="6"/>
    </row>
    <row r="264" spans="1:5" x14ac:dyDescent="0.25">
      <c r="A264" s="7"/>
      <c r="B264" s="5" t="s">
        <v>49</v>
      </c>
      <c r="C264" s="7" t="s">
        <v>14</v>
      </c>
      <c r="D264" s="7">
        <v>1</v>
      </c>
      <c r="E264" s="6"/>
    </row>
    <row r="265" spans="1:5" x14ac:dyDescent="0.25">
      <c r="A265" s="7"/>
      <c r="B265" s="5" t="s">
        <v>150</v>
      </c>
      <c r="C265" s="7" t="s">
        <v>16</v>
      </c>
      <c r="D265" s="7">
        <f>8+8+8+8+8+9</f>
        <v>49</v>
      </c>
      <c r="E265" s="6"/>
    </row>
    <row r="266" spans="1:5" x14ac:dyDescent="0.25">
      <c r="A266" s="7">
        <v>3</v>
      </c>
      <c r="B266" s="4" t="s">
        <v>12</v>
      </c>
      <c r="C266" s="8" t="s">
        <v>16</v>
      </c>
      <c r="D266" s="8">
        <f>12.3*0.58*2</f>
        <v>14.268000000000001</v>
      </c>
      <c r="E266" s="4" t="s">
        <v>20</v>
      </c>
    </row>
    <row r="267" spans="1:5" x14ac:dyDescent="0.25">
      <c r="A267" s="7">
        <v>4</v>
      </c>
      <c r="B267" s="4" t="s">
        <v>15</v>
      </c>
      <c r="C267" s="8" t="s">
        <v>16</v>
      </c>
      <c r="D267" s="8">
        <f>4*5.04</f>
        <v>20.16</v>
      </c>
      <c r="E267" s="4" t="s">
        <v>38</v>
      </c>
    </row>
    <row r="268" spans="1:5" x14ac:dyDescent="0.25">
      <c r="A268" s="11">
        <v>5</v>
      </c>
      <c r="B268" s="4" t="s">
        <v>27</v>
      </c>
      <c r="C268" s="8" t="s">
        <v>28</v>
      </c>
      <c r="D268" s="8">
        <f>4.777*0.6</f>
        <v>2.8662000000000001</v>
      </c>
      <c r="E268" s="4" t="s">
        <v>29</v>
      </c>
    </row>
    <row r="269" spans="1:5" x14ac:dyDescent="0.25">
      <c r="A269" s="12" t="s">
        <v>42</v>
      </c>
      <c r="B269" s="13"/>
      <c r="C269" s="13"/>
      <c r="D269" s="13"/>
      <c r="E269" s="14"/>
    </row>
    <row r="270" spans="1:5" x14ac:dyDescent="0.25">
      <c r="A270" s="7">
        <v>1</v>
      </c>
      <c r="B270" s="4" t="s">
        <v>8</v>
      </c>
      <c r="C270" s="8" t="s">
        <v>9</v>
      </c>
      <c r="D270" s="8">
        <f>2.106*0.1</f>
        <v>0.21060000000000001</v>
      </c>
      <c r="E270" s="4" t="s">
        <v>10</v>
      </c>
    </row>
    <row r="271" spans="1:5" ht="105" x14ac:dyDescent="0.25">
      <c r="A271" s="7">
        <v>2</v>
      </c>
      <c r="B271" s="5" t="s">
        <v>11</v>
      </c>
      <c r="C271" s="7" t="s">
        <v>9</v>
      </c>
      <c r="D271" s="7">
        <f>1.6*0.6</f>
        <v>0.96</v>
      </c>
      <c r="E271" s="6" t="s">
        <v>167</v>
      </c>
    </row>
    <row r="272" spans="1:5" x14ac:dyDescent="0.25">
      <c r="A272" s="7"/>
      <c r="B272" s="5" t="s">
        <v>78</v>
      </c>
      <c r="C272" s="7" t="s">
        <v>14</v>
      </c>
      <c r="D272" s="7">
        <v>2</v>
      </c>
      <c r="E272" s="6"/>
    </row>
    <row r="273" spans="1:5" x14ac:dyDescent="0.25">
      <c r="A273" s="7"/>
      <c r="B273" s="5" t="s">
        <v>46</v>
      </c>
      <c r="C273" s="7" t="s">
        <v>14</v>
      </c>
      <c r="D273" s="7">
        <v>3</v>
      </c>
      <c r="E273" s="6"/>
    </row>
    <row r="274" spans="1:5" x14ac:dyDescent="0.25">
      <c r="A274" s="7"/>
      <c r="B274" s="5" t="s">
        <v>47</v>
      </c>
      <c r="C274" s="7" t="s">
        <v>14</v>
      </c>
      <c r="D274" s="7">
        <v>1</v>
      </c>
      <c r="E274" s="6"/>
    </row>
    <row r="275" spans="1:5" x14ac:dyDescent="0.25">
      <c r="A275" s="7"/>
      <c r="B275" s="5" t="s">
        <v>79</v>
      </c>
      <c r="C275" s="7" t="s">
        <v>14</v>
      </c>
      <c r="D275" s="7">
        <v>1</v>
      </c>
      <c r="E275" s="6"/>
    </row>
    <row r="276" spans="1:5" x14ac:dyDescent="0.25">
      <c r="A276" s="7"/>
      <c r="B276" s="5" t="s">
        <v>80</v>
      </c>
      <c r="C276" s="7" t="s">
        <v>14</v>
      </c>
      <c r="D276" s="7">
        <v>1</v>
      </c>
      <c r="E276" s="6"/>
    </row>
    <row r="277" spans="1:5" x14ac:dyDescent="0.25">
      <c r="A277" s="7"/>
      <c r="B277" s="5" t="s">
        <v>150</v>
      </c>
      <c r="C277" s="7" t="s">
        <v>16</v>
      </c>
      <c r="D277" s="7">
        <f>9+8+9+8+9+8+9+8</f>
        <v>68</v>
      </c>
      <c r="E277" s="6"/>
    </row>
    <row r="278" spans="1:5" x14ac:dyDescent="0.25">
      <c r="A278" s="7">
        <v>3</v>
      </c>
      <c r="B278" s="4" t="s">
        <v>12</v>
      </c>
      <c r="C278" s="8" t="s">
        <v>16</v>
      </c>
      <c r="D278" s="8">
        <f>12.3*0.58*2</f>
        <v>14.268000000000001</v>
      </c>
      <c r="E278" s="4" t="s">
        <v>20</v>
      </c>
    </row>
    <row r="279" spans="1:5" x14ac:dyDescent="0.25">
      <c r="A279" s="7">
        <v>4</v>
      </c>
      <c r="B279" s="4" t="s">
        <v>15</v>
      </c>
      <c r="C279" s="8" t="s">
        <v>16</v>
      </c>
      <c r="D279" s="8">
        <f>4*5.04</f>
        <v>20.16</v>
      </c>
      <c r="E279" s="4" t="s">
        <v>38</v>
      </c>
    </row>
    <row r="280" spans="1:5" x14ac:dyDescent="0.25">
      <c r="A280" s="11">
        <v>5</v>
      </c>
      <c r="B280" s="4" t="s">
        <v>27</v>
      </c>
      <c r="C280" s="8" t="s">
        <v>28</v>
      </c>
      <c r="D280" s="8">
        <f>4.917*0.6</f>
        <v>2.9501999999999997</v>
      </c>
      <c r="E280" s="4" t="s">
        <v>29</v>
      </c>
    </row>
    <row r="281" spans="1:5" x14ac:dyDescent="0.25">
      <c r="A281" s="12" t="s">
        <v>43</v>
      </c>
      <c r="B281" s="13"/>
      <c r="C281" s="13"/>
      <c r="D281" s="13"/>
      <c r="E281" s="14"/>
    </row>
    <row r="282" spans="1:5" x14ac:dyDescent="0.25">
      <c r="A282" s="7">
        <v>1</v>
      </c>
      <c r="B282" s="4" t="s">
        <v>8</v>
      </c>
      <c r="C282" s="8" t="s">
        <v>9</v>
      </c>
      <c r="D282" s="8">
        <f>2.752*0.1</f>
        <v>0.2752</v>
      </c>
      <c r="E282" s="4" t="s">
        <v>10</v>
      </c>
    </row>
    <row r="283" spans="1:5" ht="135" x14ac:dyDescent="0.25">
      <c r="A283" s="7">
        <v>2</v>
      </c>
      <c r="B283" s="5" t="s">
        <v>11</v>
      </c>
      <c r="C283" s="7" t="s">
        <v>9</v>
      </c>
      <c r="D283" s="7">
        <f>2.168*0.6</f>
        <v>1.3008</v>
      </c>
      <c r="E283" s="6" t="s">
        <v>168</v>
      </c>
    </row>
    <row r="284" spans="1:5" x14ac:dyDescent="0.25">
      <c r="A284" s="7"/>
      <c r="B284" s="5" t="s">
        <v>78</v>
      </c>
      <c r="C284" s="7" t="s">
        <v>14</v>
      </c>
      <c r="D284" s="7">
        <v>1</v>
      </c>
      <c r="E284" s="6"/>
    </row>
    <row r="285" spans="1:5" x14ac:dyDescent="0.25">
      <c r="A285" s="7"/>
      <c r="B285" s="5" t="s">
        <v>46</v>
      </c>
      <c r="C285" s="7" t="s">
        <v>14</v>
      </c>
      <c r="D285" s="7">
        <v>1</v>
      </c>
      <c r="E285" s="6"/>
    </row>
    <row r="286" spans="1:5" x14ac:dyDescent="0.25">
      <c r="A286" s="7"/>
      <c r="B286" s="5" t="s">
        <v>55</v>
      </c>
      <c r="C286" s="7" t="s">
        <v>14</v>
      </c>
      <c r="D286" s="7">
        <v>1</v>
      </c>
      <c r="E286" s="6"/>
    </row>
    <row r="287" spans="1:5" x14ac:dyDescent="0.25">
      <c r="A287" s="7"/>
      <c r="B287" s="5" t="s">
        <v>81</v>
      </c>
      <c r="C287" s="7" t="s">
        <v>14</v>
      </c>
      <c r="D287" s="7">
        <v>2</v>
      </c>
      <c r="E287" s="6"/>
    </row>
    <row r="288" spans="1:5" ht="17.25" customHeight="1" x14ac:dyDescent="0.25">
      <c r="A288" s="7"/>
      <c r="B288" s="5" t="s">
        <v>82</v>
      </c>
      <c r="C288" s="7" t="s">
        <v>14</v>
      </c>
      <c r="D288" s="7">
        <v>1</v>
      </c>
      <c r="E288" s="6"/>
    </row>
    <row r="289" spans="1:5" ht="17.25" customHeight="1" x14ac:dyDescent="0.25">
      <c r="A289" s="7"/>
      <c r="B289" s="5" t="s">
        <v>83</v>
      </c>
      <c r="C289" s="7" t="s">
        <v>14</v>
      </c>
      <c r="D289" s="7">
        <v>1</v>
      </c>
      <c r="E289" s="6"/>
    </row>
    <row r="290" spans="1:5" x14ac:dyDescent="0.25">
      <c r="A290" s="7"/>
      <c r="B290" s="5" t="s">
        <v>84</v>
      </c>
      <c r="C290" s="7" t="s">
        <v>14</v>
      </c>
      <c r="D290" s="7">
        <v>1</v>
      </c>
      <c r="E290" s="6"/>
    </row>
    <row r="291" spans="1:5" x14ac:dyDescent="0.25">
      <c r="A291" s="7"/>
      <c r="B291" s="5" t="s">
        <v>150</v>
      </c>
      <c r="C291" s="7" t="s">
        <v>16</v>
      </c>
      <c r="D291" s="7">
        <f>9+9+9+9+8</f>
        <v>44</v>
      </c>
      <c r="E291" s="6"/>
    </row>
    <row r="292" spans="1:5" x14ac:dyDescent="0.25">
      <c r="A292" s="7">
        <v>3</v>
      </c>
      <c r="B292" s="4" t="s">
        <v>12</v>
      </c>
      <c r="C292" s="8" t="s">
        <v>16</v>
      </c>
      <c r="D292" s="8">
        <f>12.3*0.58*2</f>
        <v>14.268000000000001</v>
      </c>
      <c r="E292" s="4" t="s">
        <v>20</v>
      </c>
    </row>
    <row r="293" spans="1:5" x14ac:dyDescent="0.25">
      <c r="A293" s="7">
        <v>4</v>
      </c>
      <c r="B293" s="4" t="s">
        <v>15</v>
      </c>
      <c r="C293" s="8" t="s">
        <v>16</v>
      </c>
      <c r="D293" s="8">
        <f>4*5.04</f>
        <v>20.16</v>
      </c>
      <c r="E293" s="4" t="s">
        <v>38</v>
      </c>
    </row>
    <row r="294" spans="1:5" x14ac:dyDescent="0.25">
      <c r="A294" s="11">
        <v>5</v>
      </c>
      <c r="B294" s="4" t="s">
        <v>27</v>
      </c>
      <c r="C294" s="8" t="s">
        <v>28</v>
      </c>
      <c r="D294" s="8">
        <f>5.723*0.6</f>
        <v>3.4337999999999997</v>
      </c>
      <c r="E294" s="4" t="s">
        <v>29</v>
      </c>
    </row>
    <row r="295" spans="1:5" x14ac:dyDescent="0.25">
      <c r="A295" s="12" t="s">
        <v>93</v>
      </c>
      <c r="B295" s="13"/>
      <c r="C295" s="13"/>
      <c r="D295" s="13"/>
      <c r="E295" s="14"/>
    </row>
    <row r="296" spans="1:5" x14ac:dyDescent="0.25">
      <c r="A296" s="7">
        <v>1</v>
      </c>
      <c r="B296" s="4" t="s">
        <v>8</v>
      </c>
      <c r="C296" s="8" t="s">
        <v>9</v>
      </c>
      <c r="D296" s="8">
        <f>2.65*0.1</f>
        <v>0.26500000000000001</v>
      </c>
      <c r="E296" s="4" t="s">
        <v>10</v>
      </c>
    </row>
    <row r="297" spans="1:5" ht="120" x14ac:dyDescent="0.25">
      <c r="A297" s="7">
        <v>2</v>
      </c>
      <c r="B297" s="5" t="s">
        <v>11</v>
      </c>
      <c r="C297" s="7" t="s">
        <v>9</v>
      </c>
      <c r="D297" s="7">
        <f>2.076*0.6</f>
        <v>1.2456</v>
      </c>
      <c r="E297" s="6" t="s">
        <v>169</v>
      </c>
    </row>
    <row r="298" spans="1:5" x14ac:dyDescent="0.25">
      <c r="A298" s="7"/>
      <c r="B298" s="5" t="s">
        <v>78</v>
      </c>
      <c r="C298" s="7" t="s">
        <v>14</v>
      </c>
      <c r="D298" s="7">
        <v>2</v>
      </c>
      <c r="E298" s="6"/>
    </row>
    <row r="299" spans="1:5" x14ac:dyDescent="0.25">
      <c r="A299" s="7"/>
      <c r="B299" s="5" t="s">
        <v>46</v>
      </c>
      <c r="C299" s="7" t="s">
        <v>14</v>
      </c>
      <c r="D299" s="7">
        <v>1</v>
      </c>
      <c r="E299" s="6"/>
    </row>
    <row r="300" spans="1:5" x14ac:dyDescent="0.25">
      <c r="A300" s="7"/>
      <c r="B300" s="5" t="s">
        <v>47</v>
      </c>
      <c r="C300" s="7" t="s">
        <v>14</v>
      </c>
      <c r="D300" s="7">
        <v>1</v>
      </c>
      <c r="E300" s="6"/>
    </row>
    <row r="301" spans="1:5" x14ac:dyDescent="0.25">
      <c r="A301" s="7"/>
      <c r="B301" s="5" t="s">
        <v>81</v>
      </c>
      <c r="C301" s="7" t="s">
        <v>14</v>
      </c>
      <c r="D301" s="7">
        <v>2</v>
      </c>
      <c r="E301" s="6"/>
    </row>
    <row r="302" spans="1:5" x14ac:dyDescent="0.25">
      <c r="A302" s="7"/>
      <c r="B302" s="5" t="s">
        <v>94</v>
      </c>
      <c r="C302" s="7" t="s">
        <v>14</v>
      </c>
      <c r="D302" s="7">
        <v>1</v>
      </c>
      <c r="E302" s="6"/>
    </row>
    <row r="303" spans="1:5" x14ac:dyDescent="0.25">
      <c r="A303" s="7"/>
      <c r="B303" s="5" t="s">
        <v>95</v>
      </c>
      <c r="C303" s="7" t="s">
        <v>14</v>
      </c>
      <c r="D303" s="7">
        <v>1</v>
      </c>
      <c r="E303" s="6"/>
    </row>
    <row r="304" spans="1:5" x14ac:dyDescent="0.25">
      <c r="A304" s="7"/>
      <c r="B304" s="5" t="s">
        <v>150</v>
      </c>
      <c r="C304" s="7" t="s">
        <v>16</v>
      </c>
      <c r="D304" s="7">
        <f>9+9+9+9+9+9</f>
        <v>54</v>
      </c>
      <c r="E304" s="6"/>
    </row>
    <row r="305" spans="1:5" x14ac:dyDescent="0.25">
      <c r="A305" s="7">
        <v>3</v>
      </c>
      <c r="B305" s="4" t="s">
        <v>12</v>
      </c>
      <c r="C305" s="8" t="s">
        <v>16</v>
      </c>
      <c r="D305" s="8">
        <f>12.3*0.58*2</f>
        <v>14.268000000000001</v>
      </c>
      <c r="E305" s="4" t="s">
        <v>20</v>
      </c>
    </row>
    <row r="306" spans="1:5" x14ac:dyDescent="0.25">
      <c r="A306" s="7">
        <v>4</v>
      </c>
      <c r="B306" s="4" t="s">
        <v>15</v>
      </c>
      <c r="C306" s="8" t="s">
        <v>16</v>
      </c>
      <c r="D306" s="8">
        <f>4*5.04</f>
        <v>20.16</v>
      </c>
      <c r="E306" s="4" t="s">
        <v>38</v>
      </c>
    </row>
    <row r="307" spans="1:5" x14ac:dyDescent="0.25">
      <c r="A307" s="11">
        <v>5</v>
      </c>
      <c r="B307" s="4" t="s">
        <v>27</v>
      </c>
      <c r="C307" s="8" t="s">
        <v>28</v>
      </c>
      <c r="D307" s="8">
        <f>5.597*0.6</f>
        <v>3.3582000000000001</v>
      </c>
      <c r="E307" s="4" t="s">
        <v>29</v>
      </c>
    </row>
    <row r="308" spans="1:5" x14ac:dyDescent="0.25">
      <c r="A308" s="12" t="s">
        <v>96</v>
      </c>
      <c r="B308" s="13"/>
      <c r="C308" s="13"/>
      <c r="D308" s="13"/>
      <c r="E308" s="14"/>
    </row>
    <row r="309" spans="1:5" x14ac:dyDescent="0.25">
      <c r="A309" s="7">
        <v>1</v>
      </c>
      <c r="B309" s="4" t="s">
        <v>8</v>
      </c>
      <c r="C309" s="8" t="s">
        <v>9</v>
      </c>
      <c r="D309" s="8">
        <f>2.474*0.1</f>
        <v>0.24740000000000004</v>
      </c>
      <c r="E309" s="4" t="s">
        <v>10</v>
      </c>
    </row>
    <row r="310" spans="1:5" ht="120" x14ac:dyDescent="0.25">
      <c r="A310" s="7">
        <v>2</v>
      </c>
      <c r="B310" s="5" t="s">
        <v>11</v>
      </c>
      <c r="C310" s="7" t="s">
        <v>9</v>
      </c>
      <c r="D310" s="7">
        <f>1.926*0.6</f>
        <v>1.1556</v>
      </c>
      <c r="E310" s="6" t="s">
        <v>170</v>
      </c>
    </row>
    <row r="311" spans="1:5" x14ac:dyDescent="0.25">
      <c r="A311" s="7"/>
      <c r="B311" s="5" t="s">
        <v>45</v>
      </c>
      <c r="C311" s="7" t="s">
        <v>14</v>
      </c>
      <c r="D311" s="7">
        <v>2</v>
      </c>
      <c r="E311" s="6"/>
    </row>
    <row r="312" spans="1:5" x14ac:dyDescent="0.25">
      <c r="A312" s="7"/>
      <c r="B312" s="5" t="s">
        <v>46</v>
      </c>
      <c r="C312" s="7" t="s">
        <v>14</v>
      </c>
      <c r="D312" s="7">
        <v>1</v>
      </c>
      <c r="E312" s="6"/>
    </row>
    <row r="313" spans="1:5" x14ac:dyDescent="0.25">
      <c r="A313" s="7"/>
      <c r="B313" s="5" t="s">
        <v>47</v>
      </c>
      <c r="C313" s="7" t="s">
        <v>14</v>
      </c>
      <c r="D313" s="7">
        <v>1</v>
      </c>
      <c r="E313" s="6"/>
    </row>
    <row r="314" spans="1:5" x14ac:dyDescent="0.25">
      <c r="A314" s="7"/>
      <c r="B314" s="5" t="s">
        <v>97</v>
      </c>
      <c r="C314" s="7" t="s">
        <v>14</v>
      </c>
      <c r="D314" s="7">
        <v>2</v>
      </c>
      <c r="E314" s="6"/>
    </row>
    <row r="315" spans="1:5" x14ac:dyDescent="0.25">
      <c r="A315" s="7"/>
      <c r="B315" s="5" t="s">
        <v>98</v>
      </c>
      <c r="C315" s="7" t="s">
        <v>14</v>
      </c>
      <c r="D315" s="7">
        <v>1</v>
      </c>
      <c r="E315" s="6"/>
    </row>
    <row r="316" spans="1:5" x14ac:dyDescent="0.25">
      <c r="A316" s="7"/>
      <c r="B316" s="5" t="s">
        <v>99</v>
      </c>
      <c r="C316" s="7" t="s">
        <v>14</v>
      </c>
      <c r="D316" s="7">
        <v>1</v>
      </c>
      <c r="E316" s="6"/>
    </row>
    <row r="317" spans="1:5" x14ac:dyDescent="0.25">
      <c r="A317" s="7"/>
      <c r="B317" s="5" t="s">
        <v>150</v>
      </c>
      <c r="C317" s="7" t="s">
        <v>16</v>
      </c>
      <c r="D317" s="7">
        <f>8+8+9+8+8</f>
        <v>41</v>
      </c>
      <c r="E317" s="6"/>
    </row>
    <row r="318" spans="1:5" x14ac:dyDescent="0.25">
      <c r="A318" s="7">
        <v>3</v>
      </c>
      <c r="B318" s="4" t="s">
        <v>12</v>
      </c>
      <c r="C318" s="8" t="s">
        <v>16</v>
      </c>
      <c r="D318" s="8">
        <f>12.3*0.58*2</f>
        <v>14.268000000000001</v>
      </c>
      <c r="E318" s="4" t="s">
        <v>20</v>
      </c>
    </row>
    <row r="319" spans="1:5" x14ac:dyDescent="0.25">
      <c r="A319" s="7">
        <v>4</v>
      </c>
      <c r="B319" s="4" t="s">
        <v>15</v>
      </c>
      <c r="C319" s="8" t="s">
        <v>16</v>
      </c>
      <c r="D319" s="8">
        <f>4*5.04</f>
        <v>20.16</v>
      </c>
      <c r="E319" s="4" t="s">
        <v>38</v>
      </c>
    </row>
    <row r="320" spans="1:5" x14ac:dyDescent="0.25">
      <c r="A320" s="11">
        <v>5</v>
      </c>
      <c r="B320" s="4" t="s">
        <v>27</v>
      </c>
      <c r="C320" s="8" t="s">
        <v>28</v>
      </c>
      <c r="D320" s="8">
        <f>5.357*0.6</f>
        <v>3.2141999999999999</v>
      </c>
      <c r="E320" s="4" t="s">
        <v>29</v>
      </c>
    </row>
    <row r="321" spans="1:5" x14ac:dyDescent="0.25">
      <c r="A321" s="12" t="s">
        <v>100</v>
      </c>
      <c r="B321" s="13"/>
      <c r="C321" s="13"/>
      <c r="D321" s="13"/>
      <c r="E321" s="14"/>
    </row>
    <row r="322" spans="1:5" x14ac:dyDescent="0.25">
      <c r="A322" s="7">
        <v>1</v>
      </c>
      <c r="B322" s="4" t="s">
        <v>8</v>
      </c>
      <c r="C322" s="8" t="s">
        <v>9</v>
      </c>
      <c r="D322" s="8">
        <f>3.13*0.1</f>
        <v>0.313</v>
      </c>
      <c r="E322" s="4" t="s">
        <v>10</v>
      </c>
    </row>
    <row r="323" spans="1:5" ht="120" x14ac:dyDescent="0.25">
      <c r="A323" s="7">
        <v>2</v>
      </c>
      <c r="B323" s="5" t="s">
        <v>11</v>
      </c>
      <c r="C323" s="7" t="s">
        <v>9</v>
      </c>
      <c r="D323" s="7">
        <f>2.496*0.6</f>
        <v>1.4976</v>
      </c>
      <c r="E323" s="6" t="s">
        <v>171</v>
      </c>
    </row>
    <row r="324" spans="1:5" x14ac:dyDescent="0.25">
      <c r="A324" s="7"/>
      <c r="B324" s="5" t="s">
        <v>78</v>
      </c>
      <c r="C324" s="7" t="s">
        <v>14</v>
      </c>
      <c r="D324" s="7">
        <v>2</v>
      </c>
      <c r="E324" s="6"/>
    </row>
    <row r="325" spans="1:5" x14ac:dyDescent="0.25">
      <c r="A325" s="7"/>
      <c r="B325" s="5" t="s">
        <v>46</v>
      </c>
      <c r="C325" s="7" t="s">
        <v>14</v>
      </c>
      <c r="D325" s="7">
        <v>1</v>
      </c>
      <c r="E325" s="6"/>
    </row>
    <row r="326" spans="1:5" x14ac:dyDescent="0.25">
      <c r="A326" s="7"/>
      <c r="B326" s="5" t="s">
        <v>47</v>
      </c>
      <c r="C326" s="7" t="s">
        <v>14</v>
      </c>
      <c r="D326" s="7">
        <v>1</v>
      </c>
      <c r="E326" s="6"/>
    </row>
    <row r="327" spans="1:5" x14ac:dyDescent="0.25">
      <c r="A327" s="7"/>
      <c r="B327" s="5" t="s">
        <v>103</v>
      </c>
      <c r="C327" s="7" t="s">
        <v>14</v>
      </c>
      <c r="D327" s="7">
        <v>2</v>
      </c>
      <c r="E327" s="6"/>
    </row>
    <row r="328" spans="1:5" x14ac:dyDescent="0.25">
      <c r="A328" s="7"/>
      <c r="B328" s="5" t="s">
        <v>102</v>
      </c>
      <c r="C328" s="7" t="s">
        <v>14</v>
      </c>
      <c r="D328" s="7">
        <v>1</v>
      </c>
      <c r="E328" s="6"/>
    </row>
    <row r="329" spans="1:5" x14ac:dyDescent="0.25">
      <c r="A329" s="7"/>
      <c r="B329" s="5" t="s">
        <v>101</v>
      </c>
      <c r="C329" s="7" t="s">
        <v>14</v>
      </c>
      <c r="D329" s="7">
        <v>1</v>
      </c>
      <c r="E329" s="6"/>
    </row>
    <row r="330" spans="1:5" x14ac:dyDescent="0.25">
      <c r="A330" s="7"/>
      <c r="B330" s="5" t="s">
        <v>150</v>
      </c>
      <c r="C330" s="7" t="s">
        <v>16</v>
      </c>
      <c r="D330" s="7">
        <v>9</v>
      </c>
      <c r="E330" s="6"/>
    </row>
    <row r="331" spans="1:5" x14ac:dyDescent="0.25">
      <c r="A331" s="7">
        <v>3</v>
      </c>
      <c r="B331" s="4" t="s">
        <v>12</v>
      </c>
      <c r="C331" s="8" t="s">
        <v>16</v>
      </c>
      <c r="D331" s="8">
        <f>12.3*0.58*2</f>
        <v>14.268000000000001</v>
      </c>
      <c r="E331" s="4" t="s">
        <v>20</v>
      </c>
    </row>
    <row r="332" spans="1:5" x14ac:dyDescent="0.25">
      <c r="A332" s="7">
        <v>4</v>
      </c>
      <c r="B332" s="4" t="s">
        <v>15</v>
      </c>
      <c r="C332" s="8" t="s">
        <v>16</v>
      </c>
      <c r="D332" s="8">
        <f>4*5.04</f>
        <v>20.16</v>
      </c>
      <c r="E332" s="4" t="s">
        <v>38</v>
      </c>
    </row>
    <row r="333" spans="1:5" x14ac:dyDescent="0.25">
      <c r="A333" s="11">
        <v>5</v>
      </c>
      <c r="B333" s="4" t="s">
        <v>27</v>
      </c>
      <c r="C333" s="8" t="s">
        <v>28</v>
      </c>
      <c r="D333" s="8">
        <f>6.197*0.6</f>
        <v>3.7181999999999999</v>
      </c>
      <c r="E333" s="4" t="s">
        <v>29</v>
      </c>
    </row>
    <row r="334" spans="1:5" x14ac:dyDescent="0.25">
      <c r="A334" s="12" t="s">
        <v>104</v>
      </c>
      <c r="B334" s="13"/>
      <c r="C334" s="13"/>
      <c r="D334" s="13"/>
      <c r="E334" s="14"/>
    </row>
    <row r="335" spans="1:5" x14ac:dyDescent="0.25">
      <c r="A335" s="7">
        <v>1</v>
      </c>
      <c r="B335" s="4" t="s">
        <v>8</v>
      </c>
      <c r="C335" s="8" t="s">
        <v>9</v>
      </c>
      <c r="D335" s="8">
        <f>2.243*0.1</f>
        <v>0.2243</v>
      </c>
      <c r="E335" s="4" t="s">
        <v>10</v>
      </c>
    </row>
    <row r="336" spans="1:5" ht="120" x14ac:dyDescent="0.25">
      <c r="A336" s="7">
        <v>2</v>
      </c>
      <c r="B336" s="5" t="s">
        <v>11</v>
      </c>
      <c r="C336" s="7" t="s">
        <v>9</v>
      </c>
      <c r="D336" s="7">
        <f>1.718*0.6</f>
        <v>1.0307999999999999</v>
      </c>
      <c r="E336" s="6" t="s">
        <v>172</v>
      </c>
    </row>
    <row r="337" spans="1:5" x14ac:dyDescent="0.25">
      <c r="A337" s="7"/>
      <c r="B337" s="5" t="s">
        <v>78</v>
      </c>
      <c r="C337" s="7" t="s">
        <v>14</v>
      </c>
      <c r="D337" s="7">
        <v>2</v>
      </c>
      <c r="E337" s="6"/>
    </row>
    <row r="338" spans="1:5" x14ac:dyDescent="0.25">
      <c r="A338" s="7"/>
      <c r="B338" s="5" t="s">
        <v>46</v>
      </c>
      <c r="C338" s="7" t="s">
        <v>14</v>
      </c>
      <c r="D338" s="7">
        <v>1</v>
      </c>
      <c r="E338" s="6"/>
    </row>
    <row r="339" spans="1:5" x14ac:dyDescent="0.25">
      <c r="A339" s="7"/>
      <c r="B339" s="5" t="s">
        <v>47</v>
      </c>
      <c r="C339" s="7" t="s">
        <v>14</v>
      </c>
      <c r="D339" s="7">
        <v>1</v>
      </c>
      <c r="E339" s="6"/>
    </row>
    <row r="340" spans="1:5" x14ac:dyDescent="0.25">
      <c r="A340" s="7"/>
      <c r="B340" s="5" t="s">
        <v>105</v>
      </c>
      <c r="C340" s="7" t="s">
        <v>14</v>
      </c>
      <c r="D340" s="7">
        <v>2</v>
      </c>
      <c r="E340" s="6"/>
    </row>
    <row r="341" spans="1:5" x14ac:dyDescent="0.25">
      <c r="A341" s="7"/>
      <c r="B341" s="5" t="s">
        <v>106</v>
      </c>
      <c r="C341" s="7" t="s">
        <v>14</v>
      </c>
      <c r="D341" s="7">
        <v>1</v>
      </c>
      <c r="E341" s="6"/>
    </row>
    <row r="342" spans="1:5" x14ac:dyDescent="0.25">
      <c r="A342" s="7"/>
      <c r="B342" s="5" t="s">
        <v>107</v>
      </c>
      <c r="C342" s="7" t="s">
        <v>14</v>
      </c>
      <c r="D342" s="7">
        <v>1</v>
      </c>
      <c r="E342" s="6"/>
    </row>
    <row r="343" spans="1:5" x14ac:dyDescent="0.25">
      <c r="A343" s="7"/>
      <c r="B343" s="5" t="s">
        <v>150</v>
      </c>
      <c r="C343" s="7" t="s">
        <v>16</v>
      </c>
      <c r="D343" s="7">
        <f>8+9</f>
        <v>17</v>
      </c>
      <c r="E343" s="6"/>
    </row>
    <row r="344" spans="1:5" x14ac:dyDescent="0.25">
      <c r="A344" s="7">
        <v>3</v>
      </c>
      <c r="B344" s="4" t="s">
        <v>12</v>
      </c>
      <c r="C344" s="8" t="s">
        <v>16</v>
      </c>
      <c r="D344" s="8">
        <f>12.3*0.58*2</f>
        <v>14.268000000000001</v>
      </c>
      <c r="E344" s="4" t="s">
        <v>20</v>
      </c>
    </row>
    <row r="345" spans="1:5" x14ac:dyDescent="0.25">
      <c r="A345" s="7">
        <v>4</v>
      </c>
      <c r="B345" s="4" t="s">
        <v>15</v>
      </c>
      <c r="C345" s="8" t="s">
        <v>16</v>
      </c>
      <c r="D345" s="8">
        <f>4*5.04</f>
        <v>20.16</v>
      </c>
      <c r="E345" s="4" t="s">
        <v>38</v>
      </c>
    </row>
    <row r="346" spans="1:5" x14ac:dyDescent="0.25">
      <c r="A346" s="11">
        <v>5</v>
      </c>
      <c r="B346" s="4" t="s">
        <v>27</v>
      </c>
      <c r="C346" s="8" t="s">
        <v>28</v>
      </c>
      <c r="D346" s="8">
        <f>5.093*0.6</f>
        <v>3.0558000000000001</v>
      </c>
      <c r="E346" s="4" t="s">
        <v>29</v>
      </c>
    </row>
    <row r="347" spans="1:5" x14ac:dyDescent="0.25">
      <c r="A347" s="12" t="s">
        <v>111</v>
      </c>
      <c r="B347" s="13"/>
      <c r="C347" s="13"/>
      <c r="D347" s="13"/>
      <c r="E347" s="14"/>
    </row>
    <row r="348" spans="1:5" x14ac:dyDescent="0.25">
      <c r="A348" s="7">
        <v>1</v>
      </c>
      <c r="B348" s="4" t="s">
        <v>8</v>
      </c>
      <c r="C348" s="8" t="s">
        <v>9</v>
      </c>
      <c r="D348" s="8">
        <f>2.474*0.1</f>
        <v>0.24740000000000004</v>
      </c>
      <c r="E348" s="4" t="s">
        <v>10</v>
      </c>
    </row>
    <row r="349" spans="1:5" ht="105" x14ac:dyDescent="0.25">
      <c r="A349" s="7">
        <v>2</v>
      </c>
      <c r="B349" s="5" t="s">
        <v>11</v>
      </c>
      <c r="C349" s="7" t="s">
        <v>9</v>
      </c>
      <c r="D349" s="7">
        <f>1.926*0.6</f>
        <v>1.1556</v>
      </c>
      <c r="E349" s="6" t="s">
        <v>112</v>
      </c>
    </row>
    <row r="350" spans="1:5" x14ac:dyDescent="0.25">
      <c r="A350" s="7"/>
      <c r="B350" s="5" t="s">
        <v>45</v>
      </c>
      <c r="C350" s="7" t="s">
        <v>14</v>
      </c>
      <c r="D350" s="7">
        <v>2</v>
      </c>
      <c r="E350" s="6"/>
    </row>
    <row r="351" spans="1:5" x14ac:dyDescent="0.25">
      <c r="A351" s="7"/>
      <c r="B351" s="5" t="s">
        <v>46</v>
      </c>
      <c r="C351" s="7" t="s">
        <v>14</v>
      </c>
      <c r="D351" s="7">
        <v>1</v>
      </c>
      <c r="E351" s="6"/>
    </row>
    <row r="352" spans="1:5" x14ac:dyDescent="0.25">
      <c r="A352" s="7"/>
      <c r="B352" s="5" t="s">
        <v>47</v>
      </c>
      <c r="C352" s="7" t="s">
        <v>14</v>
      </c>
      <c r="D352" s="7">
        <v>1</v>
      </c>
      <c r="E352" s="6"/>
    </row>
    <row r="353" spans="1:5" x14ac:dyDescent="0.25">
      <c r="A353" s="7"/>
      <c r="B353" s="5" t="s">
        <v>97</v>
      </c>
      <c r="C353" s="7" t="s">
        <v>14</v>
      </c>
      <c r="D353" s="7">
        <v>2</v>
      </c>
      <c r="E353" s="6"/>
    </row>
    <row r="354" spans="1:5" x14ac:dyDescent="0.25">
      <c r="A354" s="7"/>
      <c r="B354" s="5" t="s">
        <v>98</v>
      </c>
      <c r="C354" s="7" t="s">
        <v>14</v>
      </c>
      <c r="D354" s="7">
        <v>1</v>
      </c>
      <c r="E354" s="6"/>
    </row>
    <row r="355" spans="1:5" x14ac:dyDescent="0.25">
      <c r="A355" s="7"/>
      <c r="B355" s="5" t="s">
        <v>99</v>
      </c>
      <c r="C355" s="7" t="s">
        <v>14</v>
      </c>
      <c r="D355" s="7">
        <v>1</v>
      </c>
      <c r="E355" s="6"/>
    </row>
    <row r="356" spans="1:5" x14ac:dyDescent="0.25">
      <c r="A356" s="7">
        <v>3</v>
      </c>
      <c r="B356" s="4" t="s">
        <v>12</v>
      </c>
      <c r="C356" s="8" t="s">
        <v>16</v>
      </c>
      <c r="D356" s="8">
        <f>12.3*0.58*2</f>
        <v>14.268000000000001</v>
      </c>
      <c r="E356" s="4" t="s">
        <v>20</v>
      </c>
    </row>
    <row r="357" spans="1:5" x14ac:dyDescent="0.25">
      <c r="A357" s="7">
        <v>4</v>
      </c>
      <c r="B357" s="4" t="s">
        <v>15</v>
      </c>
      <c r="C357" s="8" t="s">
        <v>16</v>
      </c>
      <c r="D357" s="8">
        <f>4*5.04</f>
        <v>20.16</v>
      </c>
      <c r="E357" s="4" t="s">
        <v>38</v>
      </c>
    </row>
    <row r="358" spans="1:5" x14ac:dyDescent="0.25">
      <c r="A358" s="11">
        <v>5</v>
      </c>
      <c r="B358" s="4" t="s">
        <v>27</v>
      </c>
      <c r="C358" s="8" t="s">
        <v>28</v>
      </c>
      <c r="D358" s="8">
        <f>5.358*0.6</f>
        <v>3.2147999999999999</v>
      </c>
      <c r="E358" s="4" t="s">
        <v>29</v>
      </c>
    </row>
    <row r="359" spans="1:5" x14ac:dyDescent="0.25">
      <c r="A359" s="12" t="s">
        <v>113</v>
      </c>
      <c r="B359" s="13"/>
      <c r="C359" s="13"/>
      <c r="D359" s="13"/>
      <c r="E359" s="14"/>
    </row>
    <row r="360" spans="1:5" x14ac:dyDescent="0.25">
      <c r="A360" s="7">
        <v>1</v>
      </c>
      <c r="B360" s="4" t="s">
        <v>8</v>
      </c>
      <c r="C360" s="8" t="s">
        <v>9</v>
      </c>
      <c r="D360" s="8">
        <f>5.966*0.1</f>
        <v>0.59660000000000002</v>
      </c>
      <c r="E360" s="4" t="s">
        <v>10</v>
      </c>
    </row>
    <row r="361" spans="1:5" ht="120" x14ac:dyDescent="0.25">
      <c r="A361" s="7">
        <v>2</v>
      </c>
      <c r="B361" s="5" t="s">
        <v>11</v>
      </c>
      <c r="C361" s="7" t="s">
        <v>9</v>
      </c>
      <c r="D361" s="7">
        <f>1.52*0.6*2</f>
        <v>1.8239999999999998</v>
      </c>
      <c r="E361" s="6" t="s">
        <v>173</v>
      </c>
    </row>
    <row r="362" spans="1:5" x14ac:dyDescent="0.25">
      <c r="A362" s="7"/>
      <c r="B362" s="5" t="s">
        <v>45</v>
      </c>
      <c r="C362" s="7" t="s">
        <v>14</v>
      </c>
      <c r="D362" s="7">
        <v>4</v>
      </c>
      <c r="E362" s="6"/>
    </row>
    <row r="363" spans="1:5" x14ac:dyDescent="0.25">
      <c r="A363" s="7"/>
      <c r="B363" s="5" t="s">
        <v>46</v>
      </c>
      <c r="C363" s="7" t="s">
        <v>14</v>
      </c>
      <c r="D363" s="7">
        <v>6</v>
      </c>
      <c r="E363" s="6"/>
    </row>
    <row r="364" spans="1:5" x14ac:dyDescent="0.25">
      <c r="A364" s="7"/>
      <c r="B364" s="5" t="s">
        <v>47</v>
      </c>
      <c r="C364" s="7" t="s">
        <v>14</v>
      </c>
      <c r="D364" s="7">
        <v>2</v>
      </c>
      <c r="E364" s="6"/>
    </row>
    <row r="365" spans="1:5" x14ac:dyDescent="0.25">
      <c r="A365" s="7"/>
      <c r="B365" s="5" t="s">
        <v>77</v>
      </c>
      <c r="C365" s="7" t="s">
        <v>14</v>
      </c>
      <c r="D365" s="7">
        <v>2</v>
      </c>
      <c r="E365" s="6"/>
    </row>
    <row r="366" spans="1:5" x14ac:dyDescent="0.25">
      <c r="A366" s="7"/>
      <c r="B366" s="5" t="s">
        <v>49</v>
      </c>
      <c r="C366" s="7" t="s">
        <v>14</v>
      </c>
      <c r="D366" s="7">
        <v>2</v>
      </c>
      <c r="E366" s="6"/>
    </row>
    <row r="367" spans="1:5" x14ac:dyDescent="0.25">
      <c r="A367" s="7"/>
      <c r="B367" s="5" t="s">
        <v>150</v>
      </c>
      <c r="C367" s="7" t="s">
        <v>16</v>
      </c>
      <c r="D367" s="7">
        <f>9+8</f>
        <v>17</v>
      </c>
      <c r="E367" s="6"/>
    </row>
    <row r="368" spans="1:5" ht="75" x14ac:dyDescent="0.25">
      <c r="A368" s="7">
        <v>3</v>
      </c>
      <c r="B368" s="5" t="s">
        <v>86</v>
      </c>
      <c r="C368" s="7" t="s">
        <v>9</v>
      </c>
      <c r="D368" s="7">
        <f>1.367*0.6</f>
        <v>0.82019999999999993</v>
      </c>
      <c r="E368" s="6" t="s">
        <v>121</v>
      </c>
    </row>
    <row r="369" spans="1:5" x14ac:dyDescent="0.25">
      <c r="A369" s="7"/>
      <c r="B369" s="5" t="s">
        <v>116</v>
      </c>
      <c r="C369" s="7" t="s">
        <v>14</v>
      </c>
      <c r="D369" s="7">
        <v>2</v>
      </c>
      <c r="E369" s="6"/>
    </row>
    <row r="370" spans="1:5" x14ac:dyDescent="0.25">
      <c r="A370" s="7"/>
      <c r="B370" s="5" t="s">
        <v>117</v>
      </c>
      <c r="C370" s="7" t="s">
        <v>14</v>
      </c>
      <c r="D370" s="7">
        <v>1</v>
      </c>
      <c r="E370" s="6"/>
    </row>
    <row r="371" spans="1:5" x14ac:dyDescent="0.25">
      <c r="A371" s="7"/>
      <c r="B371" s="5" t="s">
        <v>118</v>
      </c>
      <c r="C371" s="7" t="s">
        <v>16</v>
      </c>
      <c r="D371" s="7">
        <v>10.119999999999999</v>
      </c>
      <c r="E371" s="6"/>
    </row>
    <row r="372" spans="1:5" x14ac:dyDescent="0.25">
      <c r="A372" s="7"/>
      <c r="B372" s="5" t="s">
        <v>119</v>
      </c>
      <c r="C372" s="7" t="s">
        <v>16</v>
      </c>
      <c r="D372" s="7">
        <v>7.84</v>
      </c>
      <c r="E372" s="6"/>
    </row>
    <row r="373" spans="1:5" x14ac:dyDescent="0.25">
      <c r="A373" s="7"/>
      <c r="B373" s="5" t="s">
        <v>120</v>
      </c>
      <c r="C373" s="7" t="s">
        <v>16</v>
      </c>
      <c r="D373" s="7">
        <v>6.56</v>
      </c>
      <c r="E373" s="6"/>
    </row>
    <row r="374" spans="1:5" x14ac:dyDescent="0.25">
      <c r="A374" s="7">
        <v>4</v>
      </c>
      <c r="B374" s="4" t="s">
        <v>12</v>
      </c>
      <c r="C374" s="8" t="s">
        <v>16</v>
      </c>
      <c r="D374" s="8">
        <f>12.3*0.58*2</f>
        <v>14.268000000000001</v>
      </c>
      <c r="E374" s="4" t="s">
        <v>20</v>
      </c>
    </row>
    <row r="375" spans="1:5" x14ac:dyDescent="0.25">
      <c r="A375" s="7">
        <v>5</v>
      </c>
      <c r="B375" s="4" t="s">
        <v>21</v>
      </c>
      <c r="C375" s="8" t="s">
        <v>16</v>
      </c>
      <c r="D375" s="8">
        <f>10.5*0.58*2</f>
        <v>12.18</v>
      </c>
      <c r="E375" s="4" t="s">
        <v>22</v>
      </c>
    </row>
    <row r="376" spans="1:5" x14ac:dyDescent="0.25">
      <c r="A376" s="7">
        <v>6</v>
      </c>
      <c r="B376" s="4" t="s">
        <v>15</v>
      </c>
      <c r="C376" s="8" t="s">
        <v>16</v>
      </c>
      <c r="D376" s="8">
        <f>8*5.04</f>
        <v>40.32</v>
      </c>
      <c r="E376" s="4" t="s">
        <v>115</v>
      </c>
    </row>
    <row r="377" spans="1:5" x14ac:dyDescent="0.25">
      <c r="A377" s="11">
        <v>7</v>
      </c>
      <c r="B377" s="4" t="s">
        <v>27</v>
      </c>
      <c r="C377" s="8" t="s">
        <v>28</v>
      </c>
      <c r="D377" s="8">
        <f>15.65*0.6</f>
        <v>9.39</v>
      </c>
      <c r="E377" s="4" t="s">
        <v>29</v>
      </c>
    </row>
    <row r="378" spans="1:5" x14ac:dyDescent="0.25">
      <c r="A378" s="12" t="s">
        <v>114</v>
      </c>
      <c r="B378" s="13"/>
      <c r="C378" s="13"/>
      <c r="D378" s="13"/>
      <c r="E378" s="14"/>
    </row>
    <row r="379" spans="1:5" x14ac:dyDescent="0.25">
      <c r="A379" s="7">
        <v>1</v>
      </c>
      <c r="B379" s="4" t="s">
        <v>8</v>
      </c>
      <c r="C379" s="8" t="s">
        <v>9</v>
      </c>
      <c r="D379" s="8">
        <f>5.966*0.1</f>
        <v>0.59660000000000002</v>
      </c>
      <c r="E379" s="4" t="s">
        <v>10</v>
      </c>
    </row>
    <row r="380" spans="1:5" ht="120" x14ac:dyDescent="0.25">
      <c r="A380" s="7">
        <v>2</v>
      </c>
      <c r="B380" s="5" t="s">
        <v>11</v>
      </c>
      <c r="C380" s="7" t="s">
        <v>9</v>
      </c>
      <c r="D380" s="7">
        <f>1.52*0.6*2</f>
        <v>1.8239999999999998</v>
      </c>
      <c r="E380" s="6" t="s">
        <v>174</v>
      </c>
    </row>
    <row r="381" spans="1:5" x14ac:dyDescent="0.25">
      <c r="A381" s="7"/>
      <c r="B381" s="5" t="s">
        <v>45</v>
      </c>
      <c r="C381" s="7" t="s">
        <v>14</v>
      </c>
      <c r="D381" s="7">
        <v>4</v>
      </c>
      <c r="E381" s="6"/>
    </row>
    <row r="382" spans="1:5" x14ac:dyDescent="0.25">
      <c r="A382" s="7"/>
      <c r="B382" s="5" t="s">
        <v>46</v>
      </c>
      <c r="C382" s="7" t="s">
        <v>14</v>
      </c>
      <c r="D382" s="7">
        <v>6</v>
      </c>
      <c r="E382" s="6"/>
    </row>
    <row r="383" spans="1:5" x14ac:dyDescent="0.25">
      <c r="A383" s="7"/>
      <c r="B383" s="5" t="s">
        <v>47</v>
      </c>
      <c r="C383" s="7" t="s">
        <v>14</v>
      </c>
      <c r="D383" s="7">
        <v>2</v>
      </c>
      <c r="E383" s="6"/>
    </row>
    <row r="384" spans="1:5" x14ac:dyDescent="0.25">
      <c r="A384" s="7"/>
      <c r="B384" s="5" t="s">
        <v>77</v>
      </c>
      <c r="C384" s="7" t="s">
        <v>14</v>
      </c>
      <c r="D384" s="7">
        <v>2</v>
      </c>
      <c r="E384" s="6"/>
    </row>
    <row r="385" spans="1:5" x14ac:dyDescent="0.25">
      <c r="A385" s="7"/>
      <c r="B385" s="5" t="s">
        <v>49</v>
      </c>
      <c r="C385" s="7" t="s">
        <v>14</v>
      </c>
      <c r="D385" s="7">
        <v>2</v>
      </c>
      <c r="E385" s="6"/>
    </row>
    <row r="386" spans="1:5" x14ac:dyDescent="0.25">
      <c r="A386" s="7"/>
      <c r="B386" s="5" t="s">
        <v>150</v>
      </c>
      <c r="C386" s="7" t="s">
        <v>16</v>
      </c>
      <c r="D386" s="7">
        <f>8+9+9+9+8+9+8+8+9</f>
        <v>77</v>
      </c>
      <c r="E386" s="6"/>
    </row>
    <row r="387" spans="1:5" ht="90" x14ac:dyDescent="0.25">
      <c r="A387" s="7">
        <v>3</v>
      </c>
      <c r="B387" s="5" t="s">
        <v>86</v>
      </c>
      <c r="C387" s="7" t="s">
        <v>9</v>
      </c>
      <c r="D387" s="7">
        <f>1.367*0.6</f>
        <v>0.82019999999999993</v>
      </c>
      <c r="E387" s="6" t="s">
        <v>175</v>
      </c>
    </row>
    <row r="388" spans="1:5" x14ac:dyDescent="0.25">
      <c r="A388" s="7"/>
      <c r="B388" s="5" t="s">
        <v>116</v>
      </c>
      <c r="C388" s="7" t="s">
        <v>14</v>
      </c>
      <c r="D388" s="7">
        <v>2</v>
      </c>
      <c r="E388" s="6"/>
    </row>
    <row r="389" spans="1:5" x14ac:dyDescent="0.25">
      <c r="A389" s="7"/>
      <c r="B389" s="5" t="s">
        <v>117</v>
      </c>
      <c r="C389" s="7" t="s">
        <v>14</v>
      </c>
      <c r="D389" s="7">
        <v>1</v>
      </c>
      <c r="E389" s="6"/>
    </row>
    <row r="390" spans="1:5" x14ac:dyDescent="0.25">
      <c r="A390" s="7"/>
      <c r="B390" s="5" t="s">
        <v>118</v>
      </c>
      <c r="C390" s="7" t="s">
        <v>16</v>
      </c>
      <c r="D390" s="7">
        <v>10.119999999999999</v>
      </c>
      <c r="E390" s="6"/>
    </row>
    <row r="391" spans="1:5" x14ac:dyDescent="0.25">
      <c r="A391" s="7"/>
      <c r="B391" s="5" t="s">
        <v>119</v>
      </c>
      <c r="C391" s="7" t="s">
        <v>16</v>
      </c>
      <c r="D391" s="7">
        <v>7.84</v>
      </c>
      <c r="E391" s="6"/>
    </row>
    <row r="392" spans="1:5" x14ac:dyDescent="0.25">
      <c r="A392" s="7"/>
      <c r="B392" s="5" t="s">
        <v>120</v>
      </c>
      <c r="C392" s="7" t="s">
        <v>16</v>
      </c>
      <c r="D392" s="7">
        <v>6.56</v>
      </c>
      <c r="E392" s="6"/>
    </row>
    <row r="393" spans="1:5" x14ac:dyDescent="0.25">
      <c r="A393" s="7"/>
      <c r="B393" s="5" t="s">
        <v>150</v>
      </c>
      <c r="C393" s="7" t="s">
        <v>16</v>
      </c>
      <c r="D393" s="7">
        <f>18+18</f>
        <v>36</v>
      </c>
      <c r="E393" s="6"/>
    </row>
    <row r="394" spans="1:5" x14ac:dyDescent="0.25">
      <c r="A394" s="7">
        <v>4</v>
      </c>
      <c r="B394" s="4" t="s">
        <v>12</v>
      </c>
      <c r="C394" s="8" t="s">
        <v>16</v>
      </c>
      <c r="D394" s="8">
        <f>12.3*0.58*2</f>
        <v>14.268000000000001</v>
      </c>
      <c r="E394" s="4" t="s">
        <v>20</v>
      </c>
    </row>
    <row r="395" spans="1:5" x14ac:dyDescent="0.25">
      <c r="A395" s="7">
        <v>5</v>
      </c>
      <c r="B395" s="4" t="s">
        <v>21</v>
      </c>
      <c r="C395" s="8" t="s">
        <v>16</v>
      </c>
      <c r="D395" s="8">
        <f>10.5*0.58*2</f>
        <v>12.18</v>
      </c>
      <c r="E395" s="4" t="s">
        <v>22</v>
      </c>
    </row>
    <row r="396" spans="1:5" x14ac:dyDescent="0.25">
      <c r="A396" s="7">
        <v>6</v>
      </c>
      <c r="B396" s="4" t="s">
        <v>15</v>
      </c>
      <c r="C396" s="8" t="s">
        <v>16</v>
      </c>
      <c r="D396" s="8">
        <f>8*5.04</f>
        <v>40.32</v>
      </c>
      <c r="E396" s="4" t="s">
        <v>115</v>
      </c>
    </row>
    <row r="397" spans="1:5" x14ac:dyDescent="0.25">
      <c r="A397" s="11">
        <v>7</v>
      </c>
      <c r="B397" s="4" t="s">
        <v>27</v>
      </c>
      <c r="C397" s="8" t="s">
        <v>28</v>
      </c>
      <c r="D397" s="8">
        <f>15.65*0.6</f>
        <v>9.39</v>
      </c>
      <c r="E397" s="4" t="s">
        <v>29</v>
      </c>
    </row>
  </sheetData>
  <mergeCells count="33">
    <mergeCell ref="A1:E1"/>
    <mergeCell ref="A2:E2"/>
    <mergeCell ref="A4:E4"/>
    <mergeCell ref="A5:E5"/>
    <mergeCell ref="A17:E17"/>
    <mergeCell ref="A30:E30"/>
    <mergeCell ref="A43:E43"/>
    <mergeCell ref="A55:E55"/>
    <mergeCell ref="A69:E69"/>
    <mergeCell ref="A81:E81"/>
    <mergeCell ref="A94:E94"/>
    <mergeCell ref="A109:E109"/>
    <mergeCell ref="A123:E123"/>
    <mergeCell ref="A257:E257"/>
    <mergeCell ref="A256:E256"/>
    <mergeCell ref="A167:E167"/>
    <mergeCell ref="A347:E347"/>
    <mergeCell ref="A269:E269"/>
    <mergeCell ref="A281:E281"/>
    <mergeCell ref="A142:E142"/>
    <mergeCell ref="A155:E155"/>
    <mergeCell ref="A295:E295"/>
    <mergeCell ref="A359:E359"/>
    <mergeCell ref="A378:E378"/>
    <mergeCell ref="A180:E180"/>
    <mergeCell ref="A198:E198"/>
    <mergeCell ref="A222:E222"/>
    <mergeCell ref="A229:E229"/>
    <mergeCell ref="A238:E238"/>
    <mergeCell ref="A245:E245"/>
    <mergeCell ref="A308:E308"/>
    <mergeCell ref="A321:E321"/>
    <mergeCell ref="A334:E33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ADC7B-3E14-4DEC-A941-6C2FA179F490}">
  <dimension ref="A1:E43"/>
  <sheetViews>
    <sheetView workbookViewId="0">
      <selection activeCell="J28" sqref="J28"/>
    </sheetView>
  </sheetViews>
  <sheetFormatPr defaultRowHeight="15" x14ac:dyDescent="0.25"/>
  <cols>
    <col min="2" max="2" width="39.5703125" customWidth="1"/>
    <col min="5" max="5" width="45.85546875" customWidth="1"/>
  </cols>
  <sheetData>
    <row r="1" spans="1:5" ht="15.75" x14ac:dyDescent="0.25">
      <c r="A1" s="21" t="s">
        <v>0</v>
      </c>
      <c r="B1" s="21"/>
      <c r="C1" s="21"/>
      <c r="D1" s="21"/>
      <c r="E1" s="21"/>
    </row>
    <row r="2" spans="1:5" ht="15.75" x14ac:dyDescent="0.25">
      <c r="A2" s="21" t="s">
        <v>1</v>
      </c>
      <c r="B2" s="21"/>
      <c r="C2" s="21"/>
      <c r="D2" s="21"/>
      <c r="E2" s="21"/>
    </row>
    <row r="3" spans="1:5" ht="15.75" x14ac:dyDescent="0.25">
      <c r="A3" s="1" t="s">
        <v>2</v>
      </c>
      <c r="B3" s="2" t="s">
        <v>3</v>
      </c>
      <c r="C3" s="1" t="s">
        <v>4</v>
      </c>
      <c r="D3" s="3" t="s">
        <v>5</v>
      </c>
      <c r="E3" s="1" t="s">
        <v>6</v>
      </c>
    </row>
    <row r="4" spans="1:5" ht="15.75" x14ac:dyDescent="0.25">
      <c r="A4" s="22" t="s">
        <v>176</v>
      </c>
      <c r="B4" s="22"/>
      <c r="C4" s="22"/>
      <c r="D4" s="22"/>
      <c r="E4" s="22"/>
    </row>
    <row r="5" spans="1:5" x14ac:dyDescent="0.25">
      <c r="A5" s="15" t="s">
        <v>177</v>
      </c>
      <c r="B5" s="16"/>
      <c r="C5" s="16"/>
      <c r="D5" s="16"/>
      <c r="E5" s="17"/>
    </row>
    <row r="6" spans="1:5" x14ac:dyDescent="0.25">
      <c r="A6" s="7"/>
      <c r="B6" s="4" t="s">
        <v>8</v>
      </c>
      <c r="C6" s="8" t="s">
        <v>9</v>
      </c>
      <c r="D6" s="8">
        <f>(2.4+10.04+2.4+5.8+3.01+2.91+5.8+5.8+2.55+2.85+3.4+1.8+3.4+2.85+1.99+5.6)*(0.345+0.055+0.2)*0.1</f>
        <v>3.7559999999999998</v>
      </c>
      <c r="E6" s="4" t="s">
        <v>178</v>
      </c>
    </row>
    <row r="7" spans="1:5" x14ac:dyDescent="0.25">
      <c r="A7" s="7"/>
      <c r="B7" s="5" t="s">
        <v>179</v>
      </c>
      <c r="C7" s="7" t="s">
        <v>9</v>
      </c>
      <c r="D7" s="7">
        <f>(2.4+10.04+2.4+5.8+3.01+2.91+5.8+5.8+2.55+2.85+3.4+1.8+3.4+2.85+1.99+5.6)*(0.345+0.055)*0.6</f>
        <v>15.023999999999997</v>
      </c>
      <c r="E7" s="6" t="s">
        <v>180</v>
      </c>
    </row>
    <row r="8" spans="1:5" x14ac:dyDescent="0.25">
      <c r="A8" s="7"/>
      <c r="B8" s="5" t="s">
        <v>181</v>
      </c>
      <c r="C8" s="7" t="s">
        <v>13</v>
      </c>
      <c r="D8" s="7">
        <f>(2.4-0.04+10.04-0.04+2.4-0.04+5.8-0.04+3.01-0.04+2.91-0.04+5.8-0.04+5.8-0.04+2.55-0.04+2.85-0.04+3.4-0.04+1.8-0.04+3.4-0.04+2.85-0.04+1.99-0.04)</f>
        <v>56.400000000000006</v>
      </c>
      <c r="E8" s="6">
        <f>D8*6.32</f>
        <v>356.44800000000004</v>
      </c>
    </row>
    <row r="9" spans="1:5" x14ac:dyDescent="0.25">
      <c r="A9" s="7"/>
      <c r="B9" s="5" t="s">
        <v>182</v>
      </c>
      <c r="C9" s="7" t="s">
        <v>13</v>
      </c>
      <c r="D9" s="7">
        <f>(2.4-0.04+10.04-0.04+2.4-0.04+5.8-0.04+3.01-0.04+2.91-0.04+5.8-0.04+5.8-0.04+2.55-0.04+2.85-0.04+3.4-0.04+1.8-0.04+3.4-0.04+2.85-0.04+1.99-0.04)*2</f>
        <v>112.80000000000001</v>
      </c>
      <c r="E9" s="6">
        <f>D9*7.21</f>
        <v>813.28800000000012</v>
      </c>
    </row>
    <row r="10" spans="1:5" x14ac:dyDescent="0.25">
      <c r="A10" s="11"/>
      <c r="B10" s="5" t="s">
        <v>184</v>
      </c>
      <c r="C10" s="7" t="s">
        <v>14</v>
      </c>
      <c r="D10" s="7">
        <v>1</v>
      </c>
      <c r="E10" s="6">
        <f>31.66*D10</f>
        <v>31.66</v>
      </c>
    </row>
    <row r="11" spans="1:5" x14ac:dyDescent="0.25">
      <c r="A11" s="11"/>
      <c r="B11" s="5" t="s">
        <v>185</v>
      </c>
      <c r="C11" s="7" t="s">
        <v>14</v>
      </c>
      <c r="D11" s="7">
        <v>2</v>
      </c>
      <c r="E11" s="6">
        <f>36.6*D11</f>
        <v>73.2</v>
      </c>
    </row>
    <row r="12" spans="1:5" x14ac:dyDescent="0.25">
      <c r="A12" s="11"/>
      <c r="B12" s="5" t="s">
        <v>183</v>
      </c>
      <c r="C12" s="7" t="s">
        <v>14</v>
      </c>
      <c r="D12" s="7">
        <f>222*2</f>
        <v>444</v>
      </c>
      <c r="E12" s="6">
        <f>0.23*D12</f>
        <v>102.12</v>
      </c>
    </row>
    <row r="13" spans="1:5" x14ac:dyDescent="0.25">
      <c r="A13" s="11"/>
      <c r="B13" s="4" t="s">
        <v>27</v>
      </c>
      <c r="C13" s="8" t="s">
        <v>28</v>
      </c>
      <c r="D13" s="8">
        <f>((2.4+10.04+2.4+5.8+3.01+2.91+5.8+5.8+2.55+2.85+3.4+1.8+3.4+2.85+1.99+5.6)*2+(0.4*16*2))*0.6</f>
        <v>82.8</v>
      </c>
      <c r="E13" s="4"/>
    </row>
    <row r="14" spans="1:5" x14ac:dyDescent="0.25">
      <c r="A14" s="15" t="s">
        <v>188</v>
      </c>
      <c r="B14" s="16"/>
      <c r="C14" s="16"/>
      <c r="D14" s="16"/>
      <c r="E14" s="17"/>
    </row>
    <row r="15" spans="1:5" x14ac:dyDescent="0.25">
      <c r="A15" s="7"/>
      <c r="B15" s="4" t="s">
        <v>8</v>
      </c>
      <c r="C15" s="8" t="s">
        <v>9</v>
      </c>
      <c r="D15" s="8">
        <f>(5.8+3)*(0.345+0.055+0.2)*0.1</f>
        <v>0.52800000000000002</v>
      </c>
      <c r="E15" s="4" t="s">
        <v>178</v>
      </c>
    </row>
    <row r="16" spans="1:5" x14ac:dyDescent="0.25">
      <c r="A16" s="7"/>
      <c r="B16" s="5" t="s">
        <v>179</v>
      </c>
      <c r="C16" s="7" t="s">
        <v>9</v>
      </c>
      <c r="D16" s="8">
        <f>(5.8+3)*(0.345+0.055)*0.6</f>
        <v>2.1120000000000001</v>
      </c>
      <c r="E16" s="6" t="s">
        <v>180</v>
      </c>
    </row>
    <row r="17" spans="1:5" x14ac:dyDescent="0.25">
      <c r="A17" s="7"/>
      <c r="B17" s="5" t="s">
        <v>186</v>
      </c>
      <c r="C17" s="7" t="s">
        <v>13</v>
      </c>
      <c r="D17" s="7">
        <f>(5.8-0.04+3-0.04)</f>
        <v>8.7200000000000006</v>
      </c>
      <c r="E17" s="6">
        <f>3.18*D17</f>
        <v>27.729600000000005</v>
      </c>
    </row>
    <row r="18" spans="1:5" x14ac:dyDescent="0.25">
      <c r="A18" s="7"/>
      <c r="B18" s="5" t="s">
        <v>187</v>
      </c>
      <c r="C18" s="7" t="s">
        <v>13</v>
      </c>
      <c r="D18" s="7">
        <f>(5.8-0.04+3-0.04)*2</f>
        <v>17.440000000000001</v>
      </c>
      <c r="E18" s="6">
        <f>4.07*D18</f>
        <v>70.980800000000016</v>
      </c>
    </row>
    <row r="19" spans="1:5" x14ac:dyDescent="0.25">
      <c r="A19" s="11"/>
      <c r="B19" s="5" t="s">
        <v>183</v>
      </c>
      <c r="C19" s="7" t="s">
        <v>14</v>
      </c>
      <c r="D19" s="7">
        <f>41*2</f>
        <v>82</v>
      </c>
      <c r="E19" s="6">
        <f>0.23*D19</f>
        <v>18.86</v>
      </c>
    </row>
    <row r="20" spans="1:5" x14ac:dyDescent="0.25">
      <c r="A20" s="11"/>
      <c r="B20" s="4" t="s">
        <v>27</v>
      </c>
      <c r="C20" s="8" t="s">
        <v>28</v>
      </c>
      <c r="D20" s="8">
        <f>((5.8+3)+(0.345+0.055))*2*0.6</f>
        <v>11.040000000000001</v>
      </c>
      <c r="E20" s="4"/>
    </row>
    <row r="21" spans="1:5" ht="15.75" x14ac:dyDescent="0.25">
      <c r="A21" s="23" t="s">
        <v>189</v>
      </c>
      <c r="B21" s="23"/>
      <c r="C21" s="23"/>
      <c r="D21" s="23"/>
      <c r="E21" s="23"/>
    </row>
    <row r="22" spans="1:5" x14ac:dyDescent="0.25">
      <c r="A22" s="12" t="s">
        <v>177</v>
      </c>
      <c r="B22" s="13"/>
      <c r="C22" s="13"/>
      <c r="D22" s="13"/>
      <c r="E22" s="14"/>
    </row>
    <row r="23" spans="1:5" x14ac:dyDescent="0.25">
      <c r="A23" s="7"/>
      <c r="B23" s="4" t="s">
        <v>8</v>
      </c>
      <c r="C23" s="8" t="s">
        <v>9</v>
      </c>
      <c r="D23" s="8">
        <f>(1.32+1.38+1.32+1.38+6.3+5.4+5.7+6.3+6.6+6.6+5.1+4.2+2.1+6.3+5.7+5.5+2.26+5.4+2.26+5.55+2.08+6.3)*(0.345+0.055+0.2)*0.1</f>
        <v>5.7030000000000012</v>
      </c>
      <c r="E23" s="4" t="s">
        <v>178</v>
      </c>
    </row>
    <row r="24" spans="1:5" x14ac:dyDescent="0.25">
      <c r="A24" s="7"/>
      <c r="B24" s="5" t="s">
        <v>179</v>
      </c>
      <c r="C24" s="7" t="s">
        <v>9</v>
      </c>
      <c r="D24" s="8">
        <f>(1.32+1.38+1.32+1.38+6.3+5.4+5.7+6.3+6.6+6.6+5.1+4.2+2.1+6.3+5.7+5.5+2.26+5.4+2.26+5.55+2.08+6.3)*(0.345+0.055)*0.6</f>
        <v>22.812000000000001</v>
      </c>
      <c r="E24" s="6" t="s">
        <v>180</v>
      </c>
    </row>
    <row r="25" spans="1:5" x14ac:dyDescent="0.25">
      <c r="A25" s="7"/>
      <c r="B25" s="5" t="s">
        <v>181</v>
      </c>
      <c r="C25" s="7" t="s">
        <v>13</v>
      </c>
      <c r="D25" s="7">
        <f>(6.6-0.04+6.3-0.04+1.38-0.04+1.32-0.04+1.38-0.04+1.32-0.04+2.08-0.04+5.5-0.04+6.3-0.04+2.06-0.04+2.06-0.04+5.5-0.04+6.3-0.04+2.1-0.04+6.6-0.04)</f>
        <v>56.20000000000001</v>
      </c>
      <c r="E25" s="6">
        <f>D25*6.32</f>
        <v>355.18400000000008</v>
      </c>
    </row>
    <row r="26" spans="1:5" x14ac:dyDescent="0.25">
      <c r="A26" s="7"/>
      <c r="B26" s="5" t="s">
        <v>182</v>
      </c>
      <c r="C26" s="7" t="s">
        <v>13</v>
      </c>
      <c r="D26" s="7">
        <f>(2.4-0.04+10.04-0.04+2.4-0.04+5.8-0.04+3.01-0.04+2.91-0.04+5.8-0.04+5.8-0.04+2.55-0.04+2.85-0.04+3.4-0.04+1.8-0.04+3.4-0.04+2.85-0.04+1.99-0.04)*2</f>
        <v>112.80000000000001</v>
      </c>
      <c r="E26" s="6">
        <f>D26*7.21</f>
        <v>813.28800000000012</v>
      </c>
    </row>
    <row r="27" spans="1:5" x14ac:dyDescent="0.25">
      <c r="A27" s="11"/>
      <c r="B27" s="5" t="s">
        <v>190</v>
      </c>
      <c r="C27" s="7" t="s">
        <v>14</v>
      </c>
      <c r="D27" s="7">
        <v>2</v>
      </c>
      <c r="E27" s="6">
        <f>30.88*D27</f>
        <v>61.76</v>
      </c>
    </row>
    <row r="28" spans="1:5" x14ac:dyDescent="0.25">
      <c r="A28" s="11"/>
      <c r="B28" s="5" t="s">
        <v>191</v>
      </c>
      <c r="C28" s="7" t="s">
        <v>14</v>
      </c>
      <c r="D28" s="7">
        <v>4</v>
      </c>
      <c r="E28" s="6">
        <f>D28*35.64</f>
        <v>142.56</v>
      </c>
    </row>
    <row r="29" spans="1:5" x14ac:dyDescent="0.25">
      <c r="A29" s="11"/>
      <c r="B29" s="5" t="s">
        <v>192</v>
      </c>
      <c r="C29" s="7" t="s">
        <v>14</v>
      </c>
      <c r="D29" s="7">
        <v>2</v>
      </c>
      <c r="E29" s="6">
        <f>32.4*D29</f>
        <v>64.8</v>
      </c>
    </row>
    <row r="30" spans="1:5" x14ac:dyDescent="0.25">
      <c r="A30" s="11"/>
      <c r="B30" s="5" t="s">
        <v>193</v>
      </c>
      <c r="C30" s="7" t="s">
        <v>14</v>
      </c>
      <c r="D30" s="7">
        <v>4</v>
      </c>
      <c r="E30" s="6">
        <f>D30*37.43</f>
        <v>149.72</v>
      </c>
    </row>
    <row r="31" spans="1:5" x14ac:dyDescent="0.25">
      <c r="A31" s="11"/>
      <c r="B31" s="5" t="s">
        <v>194</v>
      </c>
      <c r="C31" s="7" t="s">
        <v>14</v>
      </c>
      <c r="D31" s="7">
        <v>1</v>
      </c>
      <c r="E31" s="6">
        <f>29.02*D31</f>
        <v>29.02</v>
      </c>
    </row>
    <row r="32" spans="1:5" x14ac:dyDescent="0.25">
      <c r="A32" s="11"/>
      <c r="B32" s="5" t="s">
        <v>195</v>
      </c>
      <c r="C32" s="7" t="s">
        <v>14</v>
      </c>
      <c r="D32" s="7">
        <v>2</v>
      </c>
      <c r="E32" s="6">
        <f>D32*33.51</f>
        <v>67.02</v>
      </c>
    </row>
    <row r="33" spans="1:5" x14ac:dyDescent="0.25">
      <c r="A33" s="11"/>
      <c r="B33" s="5" t="s">
        <v>196</v>
      </c>
      <c r="C33" s="7" t="s">
        <v>14</v>
      </c>
      <c r="D33" s="7">
        <v>1</v>
      </c>
      <c r="E33" s="6">
        <f>24.14*D33</f>
        <v>24.14</v>
      </c>
    </row>
    <row r="34" spans="1:5" x14ac:dyDescent="0.25">
      <c r="A34" s="11"/>
      <c r="B34" s="5" t="s">
        <v>197</v>
      </c>
      <c r="C34" s="7" t="s">
        <v>14</v>
      </c>
      <c r="D34" s="7">
        <v>2</v>
      </c>
      <c r="E34" s="6">
        <f>D34*27.83</f>
        <v>55.66</v>
      </c>
    </row>
    <row r="35" spans="1:5" x14ac:dyDescent="0.25">
      <c r="A35" s="11"/>
      <c r="B35" s="5" t="s">
        <v>183</v>
      </c>
      <c r="C35" s="7" t="s">
        <v>14</v>
      </c>
      <c r="D35" s="7">
        <f>340*2</f>
        <v>680</v>
      </c>
      <c r="E35" s="6">
        <f>0.23*D35</f>
        <v>156.4</v>
      </c>
    </row>
    <row r="36" spans="1:5" x14ac:dyDescent="0.25">
      <c r="A36" s="11"/>
      <c r="B36" s="4" t="s">
        <v>27</v>
      </c>
      <c r="C36" s="8" t="s">
        <v>28</v>
      </c>
      <c r="D36" s="8">
        <f>(1.32+1.38+1.32+1.38+6.3+5.4+5.7+6.3+6.6+6.6+5.1+4.2+2.1+6.3+5.7+5.5+2.26+5.4+2.26+5.55+2.08+6.3+0.4)*2*0.6</f>
        <v>114.54000000000002</v>
      </c>
      <c r="E36" s="4"/>
    </row>
    <row r="37" spans="1:5" x14ac:dyDescent="0.25">
      <c r="A37" s="12" t="s">
        <v>188</v>
      </c>
      <c r="B37" s="13"/>
      <c r="C37" s="13"/>
      <c r="D37" s="13"/>
      <c r="E37" s="14"/>
    </row>
    <row r="38" spans="1:5" x14ac:dyDescent="0.25">
      <c r="A38" s="7"/>
      <c r="B38" s="4" t="s">
        <v>8</v>
      </c>
      <c r="C38" s="8" t="s">
        <v>9</v>
      </c>
      <c r="D38" s="8">
        <f>(4.2+4.2)*(0.345+0.055+0.2)*0.1</f>
        <v>0.504</v>
      </c>
      <c r="E38" s="4" t="s">
        <v>178</v>
      </c>
    </row>
    <row r="39" spans="1:5" x14ac:dyDescent="0.25">
      <c r="A39" s="7"/>
      <c r="B39" s="5" t="s">
        <v>179</v>
      </c>
      <c r="C39" s="7" t="s">
        <v>9</v>
      </c>
      <c r="D39" s="8">
        <f>(5.8+3)*(0.345+0.055)*0.6</f>
        <v>2.1120000000000001</v>
      </c>
      <c r="E39" s="6" t="s">
        <v>180</v>
      </c>
    </row>
    <row r="40" spans="1:5" x14ac:dyDescent="0.25">
      <c r="A40" s="7"/>
      <c r="B40" s="5" t="s">
        <v>186</v>
      </c>
      <c r="C40" s="7" t="s">
        <v>13</v>
      </c>
      <c r="D40" s="7">
        <f>(4.2-0.04+4.2-0.04)</f>
        <v>8.32</v>
      </c>
      <c r="E40" s="6">
        <f>3.18*D40</f>
        <v>26.457600000000003</v>
      </c>
    </row>
    <row r="41" spans="1:5" x14ac:dyDescent="0.25">
      <c r="A41" s="7"/>
      <c r="B41" s="5" t="s">
        <v>187</v>
      </c>
      <c r="C41" s="7" t="s">
        <v>13</v>
      </c>
      <c r="D41" s="7">
        <f>(4.2-0.04+4.2-0.04)*2</f>
        <v>16.64</v>
      </c>
      <c r="E41" s="6">
        <f>D41*4.07</f>
        <v>67.724800000000002</v>
      </c>
    </row>
    <row r="42" spans="1:5" x14ac:dyDescent="0.25">
      <c r="A42" s="11"/>
      <c r="B42" s="5" t="s">
        <v>183</v>
      </c>
      <c r="C42" s="7" t="s">
        <v>14</v>
      </c>
      <c r="D42" s="7">
        <f>35*2</f>
        <v>70</v>
      </c>
      <c r="E42" s="6">
        <f>D42*0.23</f>
        <v>16.100000000000001</v>
      </c>
    </row>
    <row r="43" spans="1:5" x14ac:dyDescent="0.25">
      <c r="A43" s="11"/>
      <c r="B43" s="4" t="s">
        <v>27</v>
      </c>
      <c r="C43" s="8" t="s">
        <v>28</v>
      </c>
      <c r="D43" s="8">
        <f>((5.8+3)+(0.345+0.055))*2*0.6</f>
        <v>11.040000000000001</v>
      </c>
      <c r="E43" s="4"/>
    </row>
  </sheetData>
  <mergeCells count="8">
    <mergeCell ref="A22:E22"/>
    <mergeCell ref="A37:E37"/>
    <mergeCell ref="A1:E1"/>
    <mergeCell ref="A2:E2"/>
    <mergeCell ref="A4:E4"/>
    <mergeCell ref="A5:E5"/>
    <mergeCell ref="A14:E14"/>
    <mergeCell ref="A21:E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Ростверки</vt:lpstr>
      <vt:lpstr>Фундаментные балки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Калачева Наталья Витальевна</dc:creator>
  <cp:lastModifiedBy>Калачева Наталья Витальевна</cp:lastModifiedBy>
  <dcterms:created xsi:type="dcterms:W3CDTF">2015-06-05T18:19:34Z</dcterms:created>
  <dcterms:modified xsi:type="dcterms:W3CDTF">2025-09-29T09:38:29Z</dcterms:modified>
</cp:coreProperties>
</file>