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.vaulina\Desktop\Торги на кровлю\"/>
    </mc:Choice>
  </mc:AlternateContent>
  <bookViews>
    <workbookView xWindow="-105" yWindow="-105" windowWidth="23250" windowHeight="12450" firstSheet="1" activeTab="1"/>
  </bookViews>
  <sheets>
    <sheet name="ВОР Ме каркас, ограждения" sheetId="1" state="hidden" r:id="rId1"/>
    <sheet name="ВОР Кровля" sheetId="4" r:id="rId2"/>
    <sheet name="Примыкание к парапету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2" i="4" l="1"/>
  <c r="D291" i="4"/>
  <c r="D290" i="4"/>
  <c r="D289" i="4"/>
  <c r="D288" i="4"/>
  <c r="D286" i="4"/>
  <c r="D287" i="4"/>
  <c r="F287" i="4"/>
  <c r="D56" i="1" l="1"/>
  <c r="D55" i="1" s="1"/>
  <c r="D53" i="1"/>
  <c r="D49" i="1"/>
  <c r="D52" i="1" s="1"/>
  <c r="D51" i="1" s="1"/>
  <c r="D49" i="4"/>
  <c r="H57" i="1"/>
  <c r="D73" i="1"/>
  <c r="D74" i="1" s="1"/>
  <c r="D71" i="1"/>
  <c r="D72" i="1" s="1"/>
  <c r="D282" i="4"/>
  <c r="D281" i="4"/>
  <c r="D283" i="4"/>
  <c r="D280" i="4"/>
  <c r="D279" i="4"/>
  <c r="D278" i="4"/>
  <c r="D270" i="4"/>
  <c r="K267" i="4"/>
  <c r="D267" i="4"/>
  <c r="D271" i="4" s="1"/>
  <c r="D242" i="4"/>
  <c r="D248" i="4" s="1"/>
  <c r="F265" i="4"/>
  <c r="F262" i="4"/>
  <c r="D57" i="1"/>
  <c r="D68" i="1"/>
  <c r="D63" i="1"/>
  <c r="D67" i="1" s="1"/>
  <c r="D65" i="1"/>
  <c r="D64" i="1" s="1"/>
  <c r="D240" i="4"/>
  <c r="F236" i="4"/>
  <c r="D38" i="1"/>
  <c r="D27" i="1"/>
  <c r="D16" i="1"/>
  <c r="D5" i="1"/>
  <c r="D12" i="1" s="1"/>
  <c r="D7" i="1"/>
  <c r="D268" i="4" l="1"/>
  <c r="D260" i="4"/>
  <c r="D269" i="4"/>
  <c r="D272" i="4"/>
  <c r="D276" i="4"/>
  <c r="D273" i="4" s="1"/>
  <c r="D275" i="4" s="1"/>
  <c r="D277" i="4"/>
  <c r="D253" i="4"/>
  <c r="D247" i="4"/>
  <c r="D254" i="4"/>
  <c r="D255" i="4"/>
  <c r="D244" i="4"/>
  <c r="D245" i="4" s="1"/>
  <c r="D246" i="4" s="1"/>
  <c r="D256" i="4"/>
  <c r="D257" i="4"/>
  <c r="D258" i="4"/>
  <c r="D259" i="4" s="1"/>
  <c r="D243" i="4"/>
  <c r="D263" i="4"/>
  <c r="D252" i="4"/>
  <c r="D249" i="4" s="1"/>
  <c r="D251" i="4" s="1"/>
  <c r="D262" i="4"/>
  <c r="D265" i="4"/>
  <c r="D261" i="4" s="1"/>
  <c r="D6" i="1"/>
  <c r="D8" i="1"/>
  <c r="D229" i="4"/>
  <c r="D9" i="1"/>
  <c r="D11" i="1" s="1"/>
  <c r="D13" i="1"/>
  <c r="D14" i="1"/>
  <c r="D10" i="1" l="1"/>
  <c r="D274" i="4"/>
  <c r="D236" i="4"/>
  <c r="D238" i="4"/>
  <c r="D250" i="4"/>
  <c r="D264" i="4"/>
  <c r="D213" i="4"/>
  <c r="D216" i="4" s="1"/>
  <c r="D195" i="4"/>
  <c r="D206" i="4" s="1"/>
  <c r="D176" i="4"/>
  <c r="D177" i="4" s="1"/>
  <c r="D157" i="4"/>
  <c r="D161" i="4" s="1"/>
  <c r="D163" i="4" s="1"/>
  <c r="D138" i="4"/>
  <c r="D136" i="4" s="1"/>
  <c r="D137" i="4" s="1"/>
  <c r="D25" i="1"/>
  <c r="D24" i="1"/>
  <c r="D23" i="1"/>
  <c r="D20" i="1"/>
  <c r="D22" i="1" s="1"/>
  <c r="D19" i="1"/>
  <c r="D18" i="1"/>
  <c r="D17" i="1"/>
  <c r="D125" i="4"/>
  <c r="D127" i="4" s="1"/>
  <c r="D123" i="4"/>
  <c r="D124" i="4" s="1"/>
  <c r="D112" i="4"/>
  <c r="D113" i="4" s="1"/>
  <c r="D110" i="4"/>
  <c r="D111" i="4" s="1"/>
  <c r="F113" i="4"/>
  <c r="F114" i="4"/>
  <c r="F119" i="4"/>
  <c r="D232" i="4"/>
  <c r="D230" i="4"/>
  <c r="F230" i="4"/>
  <c r="D231" i="4"/>
  <c r="F231" i="4"/>
  <c r="D233" i="4"/>
  <c r="D234" i="4" s="1"/>
  <c r="D237" i="4"/>
  <c r="D107" i="4"/>
  <c r="D108" i="4" s="1"/>
  <c r="D106" i="4"/>
  <c r="D97" i="4"/>
  <c r="D99" i="4" s="1"/>
  <c r="D100" i="4" s="1"/>
  <c r="D96" i="4"/>
  <c r="D95" i="4"/>
  <c r="D94" i="4"/>
  <c r="D82" i="4"/>
  <c r="D84" i="4" s="1"/>
  <c r="D63" i="4"/>
  <c r="D65" i="4" s="1"/>
  <c r="D62" i="4"/>
  <c r="D61" i="4"/>
  <c r="D60" i="4"/>
  <c r="D54" i="4"/>
  <c r="D50" i="4"/>
  <c r="D40" i="4"/>
  <c r="D41" i="4" s="1"/>
  <c r="D39" i="4"/>
  <c r="D35" i="4"/>
  <c r="D8" i="4"/>
  <c r="D9" i="4"/>
  <c r="D10" i="4"/>
  <c r="D11" i="4"/>
  <c r="D12" i="4" s="1"/>
  <c r="D29" i="4"/>
  <c r="D150" i="4" l="1"/>
  <c r="D151" i="4" s="1"/>
  <c r="D226" i="4"/>
  <c r="D227" i="4" s="1"/>
  <c r="D224" i="4"/>
  <c r="D220" i="4"/>
  <c r="D221" i="4" s="1"/>
  <c r="D222" i="4"/>
  <c r="D223" i="4" s="1"/>
  <c r="D219" i="4"/>
  <c r="D180" i="4"/>
  <c r="D181" i="4" s="1"/>
  <c r="D190" i="4"/>
  <c r="D191" i="4" s="1"/>
  <c r="D193" i="4"/>
  <c r="D194" i="4" s="1"/>
  <c r="D199" i="4"/>
  <c r="D200" i="4" s="1"/>
  <c r="D211" i="4"/>
  <c r="D212" i="4" s="1"/>
  <c r="D217" i="4"/>
  <c r="D218" i="4" s="1"/>
  <c r="D215" i="4"/>
  <c r="D204" i="4"/>
  <c r="D205" i="4" s="1"/>
  <c r="D202" i="4"/>
  <c r="D203" i="4" s="1"/>
  <c r="D201" i="4"/>
  <c r="D142" i="4"/>
  <c r="D143" i="4" s="1"/>
  <c r="D129" i="4"/>
  <c r="D131" i="4" s="1"/>
  <c r="D121" i="4"/>
  <c r="D132" i="4"/>
  <c r="D141" i="4"/>
  <c r="D146" i="4"/>
  <c r="D147" i="4" s="1"/>
  <c r="D139" i="4"/>
  <c r="D145" i="4"/>
  <c r="D159" i="4"/>
  <c r="D140" i="4"/>
  <c r="D160" i="4"/>
  <c r="D128" i="4"/>
  <c r="D178" i="4"/>
  <c r="D198" i="4"/>
  <c r="D114" i="4"/>
  <c r="D179" i="4"/>
  <c r="D196" i="4"/>
  <c r="D235" i="4"/>
  <c r="D119" i="4"/>
  <c r="D134" i="4"/>
  <c r="D115" i="4"/>
  <c r="D133" i="4"/>
  <c r="D183" i="4"/>
  <c r="D184" i="4"/>
  <c r="D185" i="4" s="1"/>
  <c r="D186" i="4"/>
  <c r="D187" i="4" s="1"/>
  <c r="D188" i="4"/>
  <c r="D189" i="4" s="1"/>
  <c r="D197" i="4"/>
  <c r="D214" i="4"/>
  <c r="D208" i="4"/>
  <c r="D209" i="4" s="1"/>
  <c r="D174" i="4"/>
  <c r="D175" i="4" s="1"/>
  <c r="D164" i="4"/>
  <c r="D155" i="4"/>
  <c r="D156" i="4" s="1"/>
  <c r="D165" i="4"/>
  <c r="D166" i="4" s="1"/>
  <c r="D167" i="4"/>
  <c r="D168" i="4" s="1"/>
  <c r="D148" i="4"/>
  <c r="D149" i="4" s="1"/>
  <c r="D162" i="4"/>
  <c r="D169" i="4"/>
  <c r="D170" i="4" s="1"/>
  <c r="D171" i="4"/>
  <c r="D172" i="4" s="1"/>
  <c r="D158" i="4"/>
  <c r="D152" i="4"/>
  <c r="D153" i="4" s="1"/>
  <c r="D182" i="4"/>
  <c r="D102" i="4"/>
  <c r="D104" i="4" s="1"/>
  <c r="D101" i="4"/>
  <c r="D120" i="4"/>
  <c r="D21" i="1"/>
  <c r="D116" i="4"/>
  <c r="D118" i="4" s="1"/>
  <c r="D126" i="4"/>
  <c r="D98" i="4"/>
  <c r="D68" i="4"/>
  <c r="D66" i="4"/>
  <c r="D67" i="4"/>
  <c r="D51" i="4"/>
  <c r="D52" i="4" s="1"/>
  <c r="D64" i="4"/>
  <c r="D83" i="4"/>
  <c r="D43" i="4"/>
  <c r="D42" i="4"/>
  <c r="D13" i="4"/>
  <c r="E1" i="4"/>
  <c r="D54" i="1"/>
  <c r="F16" i="1"/>
  <c r="D69" i="1"/>
  <c r="D62" i="1"/>
  <c r="D61" i="1"/>
  <c r="D60" i="1"/>
  <c r="D50" i="1"/>
  <c r="D47" i="1"/>
  <c r="D46" i="1"/>
  <c r="D45" i="1"/>
  <c r="D42" i="1"/>
  <c r="D44" i="1" s="1"/>
  <c r="D41" i="1"/>
  <c r="D40" i="1"/>
  <c r="D39" i="1"/>
  <c r="D36" i="1"/>
  <c r="E4" i="3"/>
  <c r="D130" i="4" l="1"/>
  <c r="D144" i="4"/>
  <c r="D103" i="4"/>
  <c r="D117" i="4"/>
  <c r="F58" i="4"/>
  <c r="D58" i="4" s="1"/>
  <c r="D59" i="4" s="1"/>
  <c r="D28" i="1"/>
  <c r="F92" i="4"/>
  <c r="D92" i="4" s="1"/>
  <c r="D93" i="4" s="1"/>
  <c r="F6" i="4"/>
  <c r="D6" i="4" s="1"/>
  <c r="D7" i="4" s="1"/>
  <c r="F33" i="4"/>
  <c r="D33" i="4" s="1"/>
  <c r="D69" i="4"/>
  <c r="D70" i="4"/>
  <c r="D44" i="4"/>
  <c r="D55" i="4"/>
  <c r="D56" i="4" s="1"/>
  <c r="D46" i="4"/>
  <c r="D47" i="4" s="1"/>
  <c r="D48" i="4" s="1"/>
  <c r="D45" i="4"/>
  <c r="D14" i="4"/>
  <c r="D15" i="4"/>
  <c r="D16" i="4"/>
  <c r="D30" i="1"/>
  <c r="D31" i="1"/>
  <c r="D33" i="1" s="1"/>
  <c r="D34" i="1"/>
  <c r="D35" i="1"/>
  <c r="D29" i="1"/>
  <c r="D43" i="1"/>
  <c r="E1" i="1"/>
  <c r="E16" i="3"/>
  <c r="O4" i="3"/>
  <c r="O8" i="3" s="1"/>
  <c r="A8" i="3"/>
  <c r="J8" i="3"/>
  <c r="T8" i="3"/>
  <c r="Y8" i="3"/>
  <c r="AD8" i="3"/>
  <c r="A10" i="3"/>
  <c r="A14" i="3" s="1"/>
  <c r="J10" i="3"/>
  <c r="J14" i="3" s="1"/>
  <c r="T10" i="3"/>
  <c r="T14" i="3" s="1"/>
  <c r="Y10" i="3"/>
  <c r="AD10" i="3"/>
  <c r="Y14" i="3"/>
  <c r="AD14" i="3"/>
  <c r="A16" i="3"/>
  <c r="J16" i="3"/>
  <c r="T16" i="3"/>
  <c r="Y16" i="3"/>
  <c r="AD16" i="3"/>
  <c r="A18" i="3"/>
  <c r="J18" i="3"/>
  <c r="T18" i="3"/>
  <c r="Y18" i="3"/>
  <c r="AD18" i="3"/>
  <c r="AD26" i="3" s="1"/>
  <c r="A20" i="3"/>
  <c r="E20" i="3"/>
  <c r="J20" i="3"/>
  <c r="O20" i="3"/>
  <c r="T20" i="3"/>
  <c r="Y20" i="3"/>
  <c r="AD20" i="3"/>
  <c r="AD22" i="3" s="1"/>
  <c r="A22" i="3"/>
  <c r="J22" i="3"/>
  <c r="T22" i="3"/>
  <c r="Y22" i="3"/>
  <c r="A24" i="3"/>
  <c r="E24" i="3"/>
  <c r="J24" i="3"/>
  <c r="O24" i="3"/>
  <c r="T24" i="3"/>
  <c r="T26" i="3" s="1"/>
  <c r="Y24" i="3"/>
  <c r="Y26" i="3" s="1"/>
  <c r="AD24" i="3"/>
  <c r="A26" i="3"/>
  <c r="J26" i="3"/>
  <c r="D36" i="4" l="1"/>
  <c r="D34" i="4"/>
  <c r="D37" i="4"/>
  <c r="D32" i="1"/>
  <c r="D72" i="4"/>
  <c r="D71" i="4"/>
  <c r="D80" i="4"/>
  <c r="D81" i="4" s="1"/>
  <c r="D17" i="4"/>
  <c r="D18" i="4"/>
  <c r="E8" i="3"/>
  <c r="E18" i="3" s="1"/>
  <c r="E26" i="3" s="1"/>
  <c r="O14" i="3"/>
  <c r="O18" i="3"/>
  <c r="O16" i="3"/>
  <c r="D74" i="4" l="1"/>
  <c r="D73" i="4"/>
  <c r="D30" i="4"/>
  <c r="D31" i="4" s="1"/>
  <c r="D19" i="4"/>
  <c r="D20" i="4"/>
  <c r="E14" i="3"/>
  <c r="E22" i="3"/>
  <c r="O22" i="3"/>
  <c r="O26" i="3"/>
  <c r="D76" i="4" l="1"/>
  <c r="D75" i="4"/>
  <c r="D22" i="4"/>
  <c r="D21" i="4"/>
  <c r="A30" i="3"/>
  <c r="D77" i="4" l="1"/>
  <c r="D78" i="4"/>
  <c r="D79" i="4" s="1"/>
  <c r="D24" i="4"/>
  <c r="D23" i="4"/>
  <c r="D25" i="4" l="1"/>
  <c r="D26" i="4"/>
  <c r="D27" i="4" s="1"/>
</calcChain>
</file>

<file path=xl/sharedStrings.xml><?xml version="1.0" encoding="utf-8"?>
<sst xmlns="http://schemas.openxmlformats.org/spreadsheetml/2006/main" count="897" uniqueCount="207">
  <si>
    <t>Количество анкеров всего, шт</t>
  </si>
  <si>
    <t>Количество анкеров на 1 пятку, шт</t>
  </si>
  <si>
    <t>Масса всех пластин, кг</t>
  </si>
  <si>
    <t>Пластина 200х200х10, кг</t>
  </si>
  <si>
    <t>Пятка стоек, шт</t>
  </si>
  <si>
    <t>Масса горизонтального элемента, кг</t>
  </si>
  <si>
    <t>Масса всех стоек, кг</t>
  </si>
  <si>
    <t>Масса 1м, кг</t>
  </si>
  <si>
    <t>кровельный пирог 570мм, для обеспечения высоты парапета 1200мм ,необходимо поднять его отметку с 16,545 до 16,730</t>
  </si>
  <si>
    <t>Высота стоек, м</t>
  </si>
  <si>
    <t>Количество стоек</t>
  </si>
  <si>
    <t>шаг стоек, м</t>
  </si>
  <si>
    <t>Длина примыкания ,м</t>
  </si>
  <si>
    <t>9 этаж</t>
  </si>
  <si>
    <t>8 этаж</t>
  </si>
  <si>
    <t>6 этаж</t>
  </si>
  <si>
    <t>6 этаж Зенитные фонари</t>
  </si>
  <si>
    <t>5 этаж</t>
  </si>
  <si>
    <t>5 этаж Зенитные фонари</t>
  </si>
  <si>
    <t>Неэксплуатируемая кровля</t>
  </si>
  <si>
    <t>Эксплуатируемая кровля</t>
  </si>
  <si>
    <t>Ведомость объемов работ №9</t>
  </si>
  <si>
    <t>Объект:</t>
  </si>
  <si>
    <t>Школа 21</t>
  </si>
  <si>
    <t>№ п/п</t>
  </si>
  <si>
    <t>Наименование работы</t>
  </si>
  <si>
    <t>Ед. измерения</t>
  </si>
  <si>
    <t>Объем</t>
  </si>
  <si>
    <t>Примечение</t>
  </si>
  <si>
    <t>Кровля</t>
  </si>
  <si>
    <t>примыкание к парапету+вентшахты</t>
  </si>
  <si>
    <t>Устройство пароизоляции прокладочной из Технобарьера 1 слой</t>
  </si>
  <si>
    <t>м2</t>
  </si>
  <si>
    <t xml:space="preserve">Рулонная пароизоляция Технобарьер </t>
  </si>
  <si>
    <t>Утепление покрытия насухо экструзионным пенополистиролом Технониколь Carbon Prof толщиной 180мм</t>
  </si>
  <si>
    <t>м3</t>
  </si>
  <si>
    <t>Пенополистирол экструзионный Технониколь Carbon Prof толщиной 100мм</t>
  </si>
  <si>
    <t>Пенополистирол экструзионный Технониколь Carbon Prof толщиной 80мм</t>
  </si>
  <si>
    <t>Устройство разуклонки из плит экструзионным пенополистиролом Технониколь Carbon Prof Slope 30-250мм (средняя толщина 140мм)</t>
  </si>
  <si>
    <t>Пенополистирол экструзионный Технониколь Carbon Prof Slope</t>
  </si>
  <si>
    <t>Устроство стяжки из ЦПР М200 толщиной 50мм, армированной сеткой 5Вр1 100х100</t>
  </si>
  <si>
    <t>Раствор М200</t>
  </si>
  <si>
    <t>Сетка 5Вр1 100х100</t>
  </si>
  <si>
    <t>кг</t>
  </si>
  <si>
    <t>Огрунтовка основания праймером битумным</t>
  </si>
  <si>
    <t>Праймер битумный  Технониколь №01</t>
  </si>
  <si>
    <t>0,35л/м2</t>
  </si>
  <si>
    <t>Монтаж битумно-полимерной мембраны Техноэласт ЭПП в 2 слоя методом наплавления</t>
  </si>
  <si>
    <t>Мембрана битумно-полимерная Техноэласт ЭПП</t>
  </si>
  <si>
    <t>Монтаж профилированной мембраны PLANTER geo</t>
  </si>
  <si>
    <t>Профилированная мембрана PLANTER geo</t>
  </si>
  <si>
    <t>Устройство балластного слоя из гравия фр. 5-10 толщиной 40мм</t>
  </si>
  <si>
    <t>Гравий фр.5-10мм</t>
  </si>
  <si>
    <t>без расхода по расценке</t>
  </si>
  <si>
    <t>Устройство выравнивающего слоя из цементно песчаной смеси толщиной 20мм</t>
  </si>
  <si>
    <t>Смесь ЦПС М150</t>
  </si>
  <si>
    <t>Укладка плитки тротуарной толщиной  30мм на растворе</t>
  </si>
  <si>
    <t>Плитка тротуарная 30мм</t>
  </si>
  <si>
    <t>Монтаж воронок водосточных</t>
  </si>
  <si>
    <t>шт</t>
  </si>
  <si>
    <t>Воронка ТН с фланцем и обогревом (ВФО) 160х450мм</t>
  </si>
  <si>
    <t xml:space="preserve">Монтаж аэраторов кровельных </t>
  </si>
  <si>
    <t>Аэратор кровельный ТЕХНОНИКОЛЬ, 160х460 мм</t>
  </si>
  <si>
    <t>Устройство примыканий кровель из наплавляемых материалов к стенам и парапетам высотой: более 600 мм с одним фартуком с огрунтовкой основания</t>
  </si>
  <si>
    <t>м</t>
  </si>
  <si>
    <t>Техноэласт ЭКП</t>
  </si>
  <si>
    <t>Техноэласт ЭПП</t>
  </si>
  <si>
    <t>Праймер битумный Технониколь №01</t>
  </si>
  <si>
    <t>Уголок из оцинкованной стали толщиной 0,7мм 50мм х50мм</t>
  </si>
  <si>
    <t>Дюбель анкер 6х40</t>
  </si>
  <si>
    <t>ТЕХНОРУФ ПРОФ ГАЛТЕЛЬ</t>
  </si>
  <si>
    <t>Отлив из оцинкованной стали 0,7мм</t>
  </si>
  <si>
    <t>Саморез сверлоконечный 4,2х25</t>
  </si>
  <si>
    <t>Мастика герметизирующая ТЕХНОНИКОЛЬ №71, картридж 310 мл</t>
  </si>
  <si>
    <t>т</t>
  </si>
  <si>
    <t>Металлоконструкции - труба 140х140х4 марка стали С355</t>
  </si>
  <si>
    <t>Анкер для высоких нагрузок MKT SZ-B 12/30 М8 L=110</t>
  </si>
  <si>
    <t>Сверление отверстий вертикальных диаметром 12мм глубиной 80мм</t>
  </si>
  <si>
    <t>Огрунтовка металлоконструкций грунтовкой ГФ-021 за 1 раз</t>
  </si>
  <si>
    <t>Окраска эмалью ПФ-115 огрунтованных металлических поверхностей за 2 раза</t>
  </si>
  <si>
    <t>Монтаж сендвич панели толщиной 150мм</t>
  </si>
  <si>
    <t>ТСП 150мм</t>
  </si>
  <si>
    <t>Устройство примыканий кровель из наплавляемых материалов к стенам и парапетам высотой: более 1200 мм без фартука с огрунтовкой основания</t>
  </si>
  <si>
    <t>Устройство дренажной отсыпки из промытого гравия фр. 5-20мм</t>
  </si>
  <si>
    <t>Гравий мытый фр.5-20мм</t>
  </si>
  <si>
    <t>без учета расхода по расценке</t>
  </si>
  <si>
    <t>Монтаж костылей металлических на дюбель для крепления парапетных крышек</t>
  </si>
  <si>
    <t>Костыль металлический 650х50х4</t>
  </si>
  <si>
    <t>Монтаж крышки парапетной из оцинкованной стали окрашенной толщиной 0,5мм</t>
  </si>
  <si>
    <t>Крышка парапетная из оцинкованной стали окрашенная толщиной 0,5мм</t>
  </si>
  <si>
    <t>Монтаж съемного металлического фартука из оцинкованной стали окрашенной толщиной 0,5мм</t>
  </si>
  <si>
    <t>Съемный металлический фартук из оцинкованной стали окрашенной толщиной 0,5мм</t>
  </si>
  <si>
    <t>Утепление парапета мин плитой 140х110мм</t>
  </si>
  <si>
    <t>фонари+ парапет+вентшахты</t>
  </si>
  <si>
    <t>Устройство стяжки из 2-х слоев хризотилцементных прессованных плоских листов общая толщина 20мм</t>
  </si>
  <si>
    <t>Огрунтовка основания праймером битумным Технониколь №01</t>
  </si>
  <si>
    <t>Устройство кровли 2-х слойной методом наплавления</t>
  </si>
  <si>
    <t>Унифлекс ВЕНТ П</t>
  </si>
  <si>
    <t>Укладка геотекстиля иглопробивного плотностью 300г/м2</t>
  </si>
  <si>
    <t>ТЕХНОРУФ ПРОФ ГАЛТЕЛЬ длиной 1,2м</t>
  </si>
  <si>
    <t>парапет+фонарь</t>
  </si>
  <si>
    <t>Устройство водосточных желобов 150мм</t>
  </si>
  <si>
    <t>Желоб водосточный МЕТАЛЛ ПРОФИЛЬ Foramina PUR D150х3000 Ral 7024</t>
  </si>
  <si>
    <t>Держатель желоба карнизный МЕТАЛЛ ПРОФИЛЬ Foramina PUR D150х165 Ral 7024</t>
  </si>
  <si>
    <t>Соединитель желоба МЕТАЛЛ ПРОФИЛЬ Foramina PUR D150 Ral 7024</t>
  </si>
  <si>
    <t xml:space="preserve">Монтаж воронки водосточной </t>
  </si>
  <si>
    <t>Воронка выпускная МЕТАЛЛ ПРОФИЛЬ Foramina PUR D150/100 Ral 7024</t>
  </si>
  <si>
    <t>Монтаж водосточной трубы диаметром 150мм</t>
  </si>
  <si>
    <t>Труба водосточная МЕТАЛЛ ПРОФИЛЬ Foramina PUR D100х3000 Ral 7024</t>
  </si>
  <si>
    <t>Колено трубы МЕТАЛЛ ПРОФИЛЬ Foramina PUR D100 Ral 7024</t>
  </si>
  <si>
    <t>примыкание парапет+вентшахты</t>
  </si>
  <si>
    <t>Лист горячекатанный 10мм марка стали С355</t>
  </si>
  <si>
    <t>Устройство кровли 5 этаж (ТН Стандарт Тротуар) 6971-АР-5,6</t>
  </si>
  <si>
    <t>Устройство примыкания кровли к вентшахтам (ТН Универсал) 5 этаж 6971-АР-5,6</t>
  </si>
  <si>
    <t>Устройство примыкания кровли к вентшахтам и выходу на кровлю (люк) (ТН Универсал) 8 этаж 6971-АР-6,7</t>
  </si>
  <si>
    <t>Устройство примыкания кровли к вентшахтам  и выходу на кровлю (люк) (ТН Универсал) 9 этаж 6971-АР-6,7</t>
  </si>
  <si>
    <t>изменен шаг стоек, появился эскиз</t>
  </si>
  <si>
    <t>изменена ссылка на чертеж</t>
  </si>
  <si>
    <t>https://document-link.sarex.io/872927ed-c92f-408b-a82c-c1fb47a63ea4</t>
  </si>
  <si>
    <t>добавлено</t>
  </si>
  <si>
    <t>Ограждение ОГ-18 высотой 600мм индивидуальное</t>
  </si>
  <si>
    <t>Устройство примыкания кровли к вентшахтам 5-9 этаж 6971-АР-5,6,7,37 Узел 6</t>
  </si>
  <si>
    <t>ТЕХНОРУФ ПРОФ ГАЛТЕЛЬ 1200мм</t>
  </si>
  <si>
    <t>Устройство примыкания кровли к парапету (ТН Универсал) 8 этаж 6971-АР-6,7,37 Узел 5</t>
  </si>
  <si>
    <t>ТЕХНОВЕНТ СТАНДАРТ 80кг/м3</t>
  </si>
  <si>
    <t>изменена марка утеплителя</t>
  </si>
  <si>
    <t>Устройство примыкания кровли к парапету (ТН Стандарт Тротуар) 5 этаж 6971-АР-5,6,37 Узел 4</t>
  </si>
  <si>
    <t>Устройство кровельного ограждения высотой 600мм (ОГ-18) АР лист 29</t>
  </si>
  <si>
    <t>Устройство кровельного ограждения высотой 1620мм (ОГ-19) АР лист 29</t>
  </si>
  <si>
    <t>объединены объемы с 5 по 9 й этаж</t>
  </si>
  <si>
    <t>Монтаж сендвич-панелей вентшахт заводской готовности толщиной 150мм</t>
  </si>
  <si>
    <t>ТСП толщиной 150мм</t>
  </si>
  <si>
    <t>Устройство кровли 4 этаж (ТН Стандарт Тротуар) 6971-АР-5,6</t>
  </si>
  <si>
    <t>Устройство кровли 4 этаж (ТН Универсал) 6971-АР-5,6</t>
  </si>
  <si>
    <t>Устройство кровли 7-8 этаж (ТН Универсал) 6971-АР-6,7</t>
  </si>
  <si>
    <t>Устройство примыкания кровли к зенитному фонарю 4 этаж 6971-АР-5,6,37 Узел 1</t>
  </si>
  <si>
    <t>Устройство примыкания кровли к зенитному фонарю  5 этаж 6971-АР-5,6,37 Узел 1</t>
  </si>
  <si>
    <t>Устройство примыкания кровли к парапету (ТН Универсал) 4 этаж 6971-АР-5,6,37 Узел 5</t>
  </si>
  <si>
    <t>Устройство примыкания кровли к парапету (ТН Универсал) 7 этаж 6971-АР-6,7,37 Узел 5</t>
  </si>
  <si>
    <t>Устройство примыкания кровли к парапету (ТН Стандарт Тротуар) 4 этаж 6971-АР-5,6,37 Узел 4</t>
  </si>
  <si>
    <t>Устройство примыкания кровли к вентшахтам 4-8 этаж 6971-АР-5,6,7,37 Узел 6</t>
  </si>
  <si>
    <t>Устройство металлокаркаса парапетов и зенитных фонарей и вентшахт 6971-КР1.С-9,10</t>
  </si>
  <si>
    <t>Уголок горячекатанный 125х8 С255</t>
  </si>
  <si>
    <t>Монтаж металлокаркаса (фахверки) С355</t>
  </si>
  <si>
    <t>Монтаж металлокаркаса (рамы вентшахт) С255</t>
  </si>
  <si>
    <t>Ограждение ОГ-19 высотой 1620мм индивидуальное, с двумя калитками шириной 1000мм</t>
  </si>
  <si>
    <t>Устройство кровельного ограждения 4-5 этаж 6971-АР-7, 29</t>
  </si>
  <si>
    <t>изменен объем</t>
  </si>
  <si>
    <t xml:space="preserve">Устройство ограждений ОГ-20 лестниц с кровли 4-го на кровлю 5-го этажа высотой 900 мм </t>
  </si>
  <si>
    <t>Устройство примыканий кровель из наплавляемых материалов к стенам и парапетам высотой1200мм мм без фартука с огрунтовкой основания с доутеплением минплитой</t>
  </si>
  <si>
    <t>Узел ТН-КРОВЛЯ Стандарт Тротуар
У.2.4-2020.11 (прилагается)</t>
  </si>
  <si>
    <t>Вентшахты 5-9 этаж 6971-АР-5,6,7, 37</t>
  </si>
  <si>
    <t>Добавлено, Объемы из модели</t>
  </si>
  <si>
    <t>Устройство примыкания к парапету кровли 4-го этажа в разных уровнях 6971-АР-5,6,29 сечение в-в, узлы ТН</t>
  </si>
  <si>
    <t>ТЕХНОФАС ЭКСТРА толщиной 150мм</t>
  </si>
  <si>
    <t>ЦПС</t>
  </si>
  <si>
    <t>Саморез остроконечный 4,8х50</t>
  </si>
  <si>
    <t>Анкерный элемент ТЕХНОНИКОЛЬ 8х45</t>
  </si>
  <si>
    <t>Телескопический крепеж ТЕХНОНИКОЛЬ</t>
  </si>
  <si>
    <t>Крепежный элемент двухсторонний (костыль)</t>
  </si>
  <si>
    <t>Отлив из оцинкованной стали толщиной 0,7мм (колпак)</t>
  </si>
  <si>
    <t>Окрашенный</t>
  </si>
  <si>
    <t>деталь металлическая из листа 2мм, размер по проекту 750мм, вес 1 детали 0,6кг</t>
  </si>
  <si>
    <t>ширина колпака</t>
  </si>
  <si>
    <t>вес 1 костыля</t>
  </si>
  <si>
    <t>слой усиления</t>
  </si>
  <si>
    <t>Технобарьер</t>
  </si>
  <si>
    <t>Праймер Технониколь №01</t>
  </si>
  <si>
    <t>Саморез остроконечный 4,8х200</t>
  </si>
  <si>
    <t>Шайба ТЕХНОНИКОЛЬ ∅ 50мм</t>
  </si>
  <si>
    <t>Промытый гравий фракции 20-40 мм</t>
  </si>
  <si>
    <t>Профиль П-образный из оцинкованной стали для утеплителя 150мм</t>
  </si>
  <si>
    <t>Крепление костыля</t>
  </si>
  <si>
    <t>Крепление утеплителя</t>
  </si>
  <si>
    <t>Крепление верха первого слоя ЭПП</t>
  </si>
  <si>
    <t>Крепление П-образного профиля</t>
  </si>
  <si>
    <t>Крепление ЦСП</t>
  </si>
  <si>
    <t>Объемы из модели, высота от плиты покрытия 1,19(высота из модели)+0,57(кровельный пирог). Устрйоство костыля и парапетной крышки вынесла отдельно</t>
  </si>
  <si>
    <t>Устройство стяжки из ЦПР М200 по уклону ср. толщина 20мм</t>
  </si>
  <si>
    <t>Устройство парапетной крышки</t>
  </si>
  <si>
    <t>Устройство примыкания кровли к стене с витражом 6971-АР-5,6 узлы ТН</t>
  </si>
  <si>
    <t>Узел ТН-КРОВЛЯ Стандарт Тротуар
У.8.1-2020.11 (прилагается)</t>
  </si>
  <si>
    <t xml:space="preserve">Объемы из модели, высота от плиты покрытия 0,25(высота из модели)+0,57(кровельный пирог). </t>
  </si>
  <si>
    <t>Устройство примыканий кровель из наплавляемых материалов к стенам и парапетам высотой до 600 мм без фартука с огрунтовкой основания с доутеплением минплитой</t>
  </si>
  <si>
    <t>ЦСП-1</t>
  </si>
  <si>
    <t>Праймер ТЕХНОНИКОЛЬ №01</t>
  </si>
  <si>
    <t>Защитный фартук из оцинкованной стали толщиной 0,7мм 650мм в развертке</t>
  </si>
  <si>
    <t>Завод на стену</t>
  </si>
  <si>
    <t>Устройство кровельного ограждения лестницы ЛК2 6971-АР-29</t>
  </si>
  <si>
    <t>Устройство лестничного ограждения высотой 1200мм (ОГС-1,ОГС-2) АР лист 29</t>
  </si>
  <si>
    <t>Устройство ограждения лестничных площадок высотой 1200мм</t>
  </si>
  <si>
    <t>Ограждение ОГС-1, ОГС-2 высотой 1200мм индивидуальное из триплекс</t>
  </si>
  <si>
    <r>
      <t>Ограждение ОГС-3</t>
    </r>
    <r>
      <rPr>
        <sz val="12"/>
        <color theme="1"/>
        <rFont val="Times New Roman"/>
        <family val="1"/>
        <charset val="204"/>
      </rPr>
      <t>÷</t>
    </r>
    <r>
      <rPr>
        <sz val="12"/>
        <color theme="1"/>
        <rFont val="Times New Roman"/>
        <family val="2"/>
        <charset val="204"/>
      </rPr>
      <t>ОГС-7 высотой 1200мм индивидуальное из триплекс</t>
    </r>
  </si>
  <si>
    <t>Устройство примыкания кровли к стойкам 6971-АР-7,29 узел В</t>
  </si>
  <si>
    <t>Ведомость объемов работ №10</t>
  </si>
  <si>
    <t>Анкер HLC 10/100/65</t>
  </si>
  <si>
    <t>Сверление отверстий горизонтальных диаметром 10 глубиной 65мм в кирпичной стене</t>
  </si>
  <si>
    <t>Сверление отверстий вертикальных диаметром 10 глубиной 65мм в железобетонной плите</t>
  </si>
  <si>
    <t>Ограждение индивидуальное хромированное уличное</t>
  </si>
  <si>
    <t>Узел ТН-КРОВЛЯ Универсал
У.6.1-2024.09 (прилагается)</t>
  </si>
  <si>
    <r>
      <t xml:space="preserve">Устройство примыканий к стойкам ограждения ОГ-19 (стойки труба </t>
    </r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Times New Roman"/>
        <family val="2"/>
        <charset val="204"/>
      </rPr>
      <t>40мм)</t>
    </r>
  </si>
  <si>
    <t>Добавлено, расчитан на высоту кровельного пирога 570мм, длина окружности трубы 0,126м</t>
  </si>
  <si>
    <t>длина окружности трубы</t>
  </si>
  <si>
    <t>Обжимной металлический хомут</t>
  </si>
  <si>
    <t>Юбка из металла</t>
  </si>
  <si>
    <t>ТЕХНОБАРЬЕР</t>
  </si>
  <si>
    <t>"Школа 21" в г. Кемерово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</si>
</sst>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2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8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3" fillId="0" borderId="1" xfId="2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5" borderId="0" xfId="0" applyFill="1"/>
    <xf numFmtId="0" fontId="4" fillId="4" borderId="1" xfId="3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2" fillId="3" borderId="1" xfId="2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4" xfId="1" applyBorder="1" applyAlignment="1">
      <alignment horizontal="center" vertical="center" wrapText="1"/>
    </xf>
    <xf numFmtId="0" fontId="2" fillId="3" borderId="2" xfId="2" applyNumberFormat="1" applyBorder="1" applyAlignment="1">
      <alignment horizontal="center" vertical="center" wrapText="1"/>
    </xf>
    <xf numFmtId="0" fontId="2" fillId="3" borderId="3" xfId="2" applyNumberFormat="1" applyBorder="1" applyAlignment="1">
      <alignment horizontal="center" vertical="center" wrapText="1"/>
    </xf>
    <xf numFmtId="0" fontId="2" fillId="3" borderId="4" xfId="2" applyNumberFormat="1" applyBorder="1" applyAlignment="1">
      <alignment horizontal="center" vertical="center" wrapText="1"/>
    </xf>
    <xf numFmtId="0" fontId="0" fillId="5" borderId="0" xfId="0" applyFill="1" applyBorder="1" applyAlignment="1">
      <alignment horizontal="left" vertical="center" wrapText="1"/>
    </xf>
  </cellXfs>
  <cellStyles count="4">
    <cellStyle name="Акцент6" xfId="2" builtinId="49"/>
    <cellStyle name="Гиперссылка" xfId="3" builtinId="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ocument-link.sarex.io/872927ed-c92f-408b-a82c-c1fb47a63ea4" TargetMode="External"/><Relationship Id="rId2" Type="http://schemas.openxmlformats.org/officeDocument/2006/relationships/hyperlink" Target="https://document-link.sarex.io/872927ed-c92f-408b-a82c-c1fb47a63ea4" TargetMode="External"/><Relationship Id="rId1" Type="http://schemas.openxmlformats.org/officeDocument/2006/relationships/hyperlink" Target="https://document-link.sarex.io/872927ed-c92f-408b-a82c-c1fb47a63ea4" TargetMode="External"/><Relationship Id="rId4" Type="http://schemas.openxmlformats.org/officeDocument/2006/relationships/hyperlink" Target="https://document-link.sarex.io/872927ed-c92f-408b-a82c-c1fb47a63ea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66" zoomScaleNormal="100" workbookViewId="0">
      <selection activeCell="E54" sqref="E54"/>
    </sheetView>
  </sheetViews>
  <sheetFormatPr defaultRowHeight="15.75" x14ac:dyDescent="0.25"/>
  <cols>
    <col min="1" max="1" width="13.25" customWidth="1"/>
    <col min="2" max="2" width="44.625" customWidth="1"/>
    <col min="3" max="3" width="12.5" customWidth="1"/>
    <col min="4" max="4" width="10.75" customWidth="1"/>
    <col min="5" max="5" width="33.125" customWidth="1"/>
    <col min="6" max="6" width="15.25" style="12" customWidth="1"/>
  </cols>
  <sheetData>
    <row r="1" spans="1:6" x14ac:dyDescent="0.25">
      <c r="A1" s="25" t="s">
        <v>194</v>
      </c>
      <c r="B1" s="25"/>
      <c r="C1" s="25"/>
      <c r="D1" s="25"/>
      <c r="E1" s="2">
        <f ca="1">TODAY()</f>
        <v>45862</v>
      </c>
    </row>
    <row r="2" spans="1:6" x14ac:dyDescent="0.25">
      <c r="A2" s="3" t="s">
        <v>22</v>
      </c>
      <c r="B2" s="26" t="s">
        <v>23</v>
      </c>
      <c r="C2" s="26"/>
      <c r="D2" s="26"/>
      <c r="E2" s="26"/>
    </row>
    <row r="3" spans="1:6" ht="31.5" x14ac:dyDescent="0.25">
      <c r="A3" s="5" t="s">
        <v>24</v>
      </c>
      <c r="B3" s="6" t="s">
        <v>25</v>
      </c>
      <c r="C3" s="5" t="s">
        <v>26</v>
      </c>
      <c r="D3" s="5" t="s">
        <v>27</v>
      </c>
      <c r="E3" s="7" t="s">
        <v>28</v>
      </c>
    </row>
    <row r="4" spans="1:6" hidden="1" x14ac:dyDescent="0.25">
      <c r="A4" s="24" t="s">
        <v>121</v>
      </c>
      <c r="B4" s="24"/>
      <c r="C4" s="24"/>
      <c r="D4" s="24"/>
      <c r="E4" s="24"/>
    </row>
    <row r="5" spans="1:6" ht="63" hidden="1" x14ac:dyDescent="0.25">
      <c r="A5" s="9"/>
      <c r="B5" s="9" t="s">
        <v>63</v>
      </c>
      <c r="C5" s="9" t="s">
        <v>64</v>
      </c>
      <c r="D5" s="9">
        <f>9.315*1.2</f>
        <v>11.177999999999999</v>
      </c>
      <c r="E5" s="9"/>
    </row>
    <row r="6" spans="1:6" hidden="1" x14ac:dyDescent="0.25">
      <c r="A6" s="11"/>
      <c r="B6" s="11" t="s">
        <v>65</v>
      </c>
      <c r="C6" s="11" t="s">
        <v>32</v>
      </c>
      <c r="D6" s="11">
        <f>D5*0.7*1.15</f>
        <v>8.9982899999999972</v>
      </c>
      <c r="E6" s="11"/>
    </row>
    <row r="7" spans="1:6" hidden="1" x14ac:dyDescent="0.25">
      <c r="A7" s="11"/>
      <c r="B7" s="11" t="s">
        <v>66</v>
      </c>
      <c r="C7" s="11" t="s">
        <v>32</v>
      </c>
      <c r="D7" s="11">
        <f>D5*0.81*1.15</f>
        <v>10.412307</v>
      </c>
      <c r="E7" s="11"/>
    </row>
    <row r="8" spans="1:6" hidden="1" x14ac:dyDescent="0.25">
      <c r="A8" s="11"/>
      <c r="B8" s="11" t="s">
        <v>67</v>
      </c>
      <c r="C8" s="11" t="s">
        <v>43</v>
      </c>
      <c r="D8" s="11">
        <f>0.25*D5*0.94</f>
        <v>2.6268299999999996</v>
      </c>
      <c r="E8" s="11"/>
    </row>
    <row r="9" spans="1:6" ht="31.5" hidden="1" x14ac:dyDescent="0.25">
      <c r="A9" s="11"/>
      <c r="B9" s="11" t="s">
        <v>68</v>
      </c>
      <c r="C9" s="11" t="s">
        <v>64</v>
      </c>
      <c r="D9" s="11">
        <f>D5</f>
        <v>11.177999999999999</v>
      </c>
      <c r="E9" s="11"/>
    </row>
    <row r="10" spans="1:6" hidden="1" x14ac:dyDescent="0.25">
      <c r="A10" s="11"/>
      <c r="B10" s="11" t="s">
        <v>69</v>
      </c>
      <c r="C10" s="11" t="s">
        <v>59</v>
      </c>
      <c r="D10" s="11">
        <f>ROUNDUP(D9/0.5,0)</f>
        <v>23</v>
      </c>
      <c r="E10" s="11"/>
    </row>
    <row r="11" spans="1:6" hidden="1" x14ac:dyDescent="0.25">
      <c r="A11" s="11"/>
      <c r="B11" s="11" t="s">
        <v>122</v>
      </c>
      <c r="C11" s="11" t="s">
        <v>59</v>
      </c>
      <c r="D11" s="11">
        <f>ROUNDUP(D9/1.2,0)</f>
        <v>10</v>
      </c>
      <c r="E11" s="11"/>
    </row>
    <row r="12" spans="1:6" hidden="1" x14ac:dyDescent="0.25">
      <c r="A12" s="11"/>
      <c r="B12" s="11" t="s">
        <v>71</v>
      </c>
      <c r="C12" s="11" t="s">
        <v>32</v>
      </c>
      <c r="D12" s="11">
        <f>D5*0.25</f>
        <v>2.7944999999999998</v>
      </c>
      <c r="E12" s="11"/>
    </row>
    <row r="13" spans="1:6" hidden="1" x14ac:dyDescent="0.25">
      <c r="A13" s="11"/>
      <c r="B13" s="11" t="s">
        <v>72</v>
      </c>
      <c r="C13" s="11" t="s">
        <v>59</v>
      </c>
      <c r="D13" s="11">
        <f>ROUNDUP(D5/0.3,0)</f>
        <v>38</v>
      </c>
      <c r="E13" s="11"/>
    </row>
    <row r="14" spans="1:6" ht="31.5" hidden="1" x14ac:dyDescent="0.25">
      <c r="A14" s="11"/>
      <c r="B14" s="11" t="s">
        <v>73</v>
      </c>
      <c r="C14" s="11" t="s">
        <v>59</v>
      </c>
      <c r="D14" s="11">
        <f>ROUNDUP((D5*0.01*0.02)/0.00031,0)</f>
        <v>8</v>
      </c>
      <c r="E14" s="11"/>
    </row>
    <row r="15" spans="1:6" hidden="1" x14ac:dyDescent="0.25">
      <c r="A15" s="24" t="s">
        <v>113</v>
      </c>
      <c r="B15" s="24"/>
      <c r="C15" s="24"/>
      <c r="D15" s="24"/>
      <c r="E15" s="24"/>
    </row>
    <row r="16" spans="1:6" ht="63" hidden="1" x14ac:dyDescent="0.25">
      <c r="A16" s="9"/>
      <c r="B16" s="9" t="s">
        <v>63</v>
      </c>
      <c r="C16" s="9" t="s">
        <v>64</v>
      </c>
      <c r="D16" s="9">
        <f>93.28*1.2</f>
        <v>111.93599999999999</v>
      </c>
      <c r="E16" s="9"/>
      <c r="F16" s="12">
        <f>D16+D27+D38+D5</f>
        <v>284.04599999999994</v>
      </c>
    </row>
    <row r="17" spans="1:5" hidden="1" x14ac:dyDescent="0.25">
      <c r="A17" s="11"/>
      <c r="B17" s="11" t="s">
        <v>65</v>
      </c>
      <c r="C17" s="11" t="s">
        <v>32</v>
      </c>
      <c r="D17" s="11">
        <f>D16*0.7*1.15</f>
        <v>90.108479999999986</v>
      </c>
      <c r="E17" s="11"/>
    </row>
    <row r="18" spans="1:5" hidden="1" x14ac:dyDescent="0.25">
      <c r="A18" s="11"/>
      <c r="B18" s="11" t="s">
        <v>66</v>
      </c>
      <c r="C18" s="11" t="s">
        <v>32</v>
      </c>
      <c r="D18" s="11">
        <f>D16*0.81*1.15</f>
        <v>104.268384</v>
      </c>
      <c r="E18" s="11"/>
    </row>
    <row r="19" spans="1:5" hidden="1" x14ac:dyDescent="0.25">
      <c r="A19" s="11"/>
      <c r="B19" s="11" t="s">
        <v>67</v>
      </c>
      <c r="C19" s="11" t="s">
        <v>43</v>
      </c>
      <c r="D19" s="11">
        <f>0.25*D16*0.94</f>
        <v>26.304959999999998</v>
      </c>
      <c r="E19" s="11"/>
    </row>
    <row r="20" spans="1:5" ht="31.5" hidden="1" x14ac:dyDescent="0.25">
      <c r="A20" s="11"/>
      <c r="B20" s="11" t="s">
        <v>68</v>
      </c>
      <c r="C20" s="11" t="s">
        <v>64</v>
      </c>
      <c r="D20" s="11">
        <f>D16</f>
        <v>111.93599999999999</v>
      </c>
      <c r="E20" s="11"/>
    </row>
    <row r="21" spans="1:5" hidden="1" x14ac:dyDescent="0.25">
      <c r="A21" s="11"/>
      <c r="B21" s="11" t="s">
        <v>69</v>
      </c>
      <c r="C21" s="11" t="s">
        <v>59</v>
      </c>
      <c r="D21" s="11">
        <f>ROUNDUP(D20/0.5,0)</f>
        <v>224</v>
      </c>
      <c r="E21" s="11"/>
    </row>
    <row r="22" spans="1:5" hidden="1" x14ac:dyDescent="0.25">
      <c r="A22" s="11"/>
      <c r="B22" s="11" t="s">
        <v>70</v>
      </c>
      <c r="C22" s="11" t="s">
        <v>59</v>
      </c>
      <c r="D22" s="11">
        <f>ROUNDUP(D20/1.2,0)</f>
        <v>94</v>
      </c>
      <c r="E22" s="11"/>
    </row>
    <row r="23" spans="1:5" hidden="1" x14ac:dyDescent="0.25">
      <c r="A23" s="11"/>
      <c r="B23" s="11" t="s">
        <v>71</v>
      </c>
      <c r="C23" s="11" t="s">
        <v>32</v>
      </c>
      <c r="D23" s="11">
        <f>D16*0.25</f>
        <v>27.983999999999998</v>
      </c>
      <c r="E23" s="11"/>
    </row>
    <row r="24" spans="1:5" hidden="1" x14ac:dyDescent="0.25">
      <c r="A24" s="11"/>
      <c r="B24" s="11" t="s">
        <v>72</v>
      </c>
      <c r="C24" s="11" t="s">
        <v>59</v>
      </c>
      <c r="D24" s="11">
        <f>ROUNDUP(D16/0.3,0)</f>
        <v>374</v>
      </c>
      <c r="E24" s="11"/>
    </row>
    <row r="25" spans="1:5" ht="31.5" hidden="1" x14ac:dyDescent="0.25">
      <c r="A25" s="11"/>
      <c r="B25" s="11" t="s">
        <v>73</v>
      </c>
      <c r="C25" s="11" t="s">
        <v>59</v>
      </c>
      <c r="D25" s="11">
        <f>ROUNDUP((D16*0.01*0.02)/0.00031,0)</f>
        <v>73</v>
      </c>
      <c r="E25" s="11"/>
    </row>
    <row r="26" spans="1:5" hidden="1" x14ac:dyDescent="0.25">
      <c r="A26" s="24" t="s">
        <v>114</v>
      </c>
      <c r="B26" s="24"/>
      <c r="C26" s="24"/>
      <c r="D26" s="24"/>
      <c r="E26" s="24"/>
    </row>
    <row r="27" spans="1:5" ht="63" hidden="1" x14ac:dyDescent="0.25">
      <c r="A27" s="9"/>
      <c r="B27" s="9" t="s">
        <v>63</v>
      </c>
      <c r="C27" s="9" t="s">
        <v>64</v>
      </c>
      <c r="D27" s="9">
        <f>(56.31+2.05*2+1.65*2)*1.2</f>
        <v>76.451999999999998</v>
      </c>
      <c r="E27" s="9"/>
    </row>
    <row r="28" spans="1:5" hidden="1" x14ac:dyDescent="0.25">
      <c r="A28" s="11"/>
      <c r="B28" s="11" t="s">
        <v>65</v>
      </c>
      <c r="C28" s="11" t="s">
        <v>32</v>
      </c>
      <c r="D28" s="11">
        <f>D27*0.7*1.15</f>
        <v>61.543859999999995</v>
      </c>
      <c r="E28" s="11"/>
    </row>
    <row r="29" spans="1:5" hidden="1" x14ac:dyDescent="0.25">
      <c r="A29" s="11"/>
      <c r="B29" s="11" t="s">
        <v>66</v>
      </c>
      <c r="C29" s="11" t="s">
        <v>32</v>
      </c>
      <c r="D29" s="11">
        <f>D27*0.81*1.15</f>
        <v>71.215037999999993</v>
      </c>
      <c r="E29" s="11"/>
    </row>
    <row r="30" spans="1:5" hidden="1" x14ac:dyDescent="0.25">
      <c r="A30" s="11"/>
      <c r="B30" s="11" t="s">
        <v>67</v>
      </c>
      <c r="C30" s="11" t="s">
        <v>43</v>
      </c>
      <c r="D30" s="11">
        <f>0.25*D27*0.94</f>
        <v>17.96622</v>
      </c>
      <c r="E30" s="11"/>
    </row>
    <row r="31" spans="1:5" ht="31.5" hidden="1" x14ac:dyDescent="0.25">
      <c r="A31" s="11"/>
      <c r="B31" s="11" t="s">
        <v>68</v>
      </c>
      <c r="C31" s="11" t="s">
        <v>64</v>
      </c>
      <c r="D31" s="11">
        <f>D27</f>
        <v>76.451999999999998</v>
      </c>
      <c r="E31" s="11"/>
    </row>
    <row r="32" spans="1:5" hidden="1" x14ac:dyDescent="0.25">
      <c r="A32" s="11"/>
      <c r="B32" s="11" t="s">
        <v>69</v>
      </c>
      <c r="C32" s="11" t="s">
        <v>59</v>
      </c>
      <c r="D32" s="11">
        <f>ROUNDUP(D31/0.5,0)</f>
        <v>153</v>
      </c>
      <c r="E32" s="11"/>
    </row>
    <row r="33" spans="1:6" hidden="1" x14ac:dyDescent="0.25">
      <c r="A33" s="11"/>
      <c r="B33" s="11" t="s">
        <v>70</v>
      </c>
      <c r="C33" s="11" t="s">
        <v>59</v>
      </c>
      <c r="D33" s="11">
        <f>ROUNDUP(D31/1.2,0)</f>
        <v>64</v>
      </c>
      <c r="E33" s="11"/>
    </row>
    <row r="34" spans="1:6" hidden="1" x14ac:dyDescent="0.25">
      <c r="A34" s="11"/>
      <c r="B34" s="11" t="s">
        <v>71</v>
      </c>
      <c r="C34" s="11" t="s">
        <v>32</v>
      </c>
      <c r="D34" s="11">
        <f>D27*0.25</f>
        <v>19.113</v>
      </c>
      <c r="E34" s="11"/>
    </row>
    <row r="35" spans="1:6" hidden="1" x14ac:dyDescent="0.25">
      <c r="A35" s="11"/>
      <c r="B35" s="11" t="s">
        <v>72</v>
      </c>
      <c r="C35" s="11" t="s">
        <v>59</v>
      </c>
      <c r="D35" s="11">
        <f>ROUNDUP(D27/0.3,0)</f>
        <v>255</v>
      </c>
      <c r="E35" s="11"/>
    </row>
    <row r="36" spans="1:6" ht="31.5" hidden="1" x14ac:dyDescent="0.25">
      <c r="A36" s="11"/>
      <c r="B36" s="11" t="s">
        <v>73</v>
      </c>
      <c r="C36" s="11" t="s">
        <v>59</v>
      </c>
      <c r="D36" s="11">
        <f>ROUNDUP((D27*0.01*0.02)/0.00031,0)</f>
        <v>50</v>
      </c>
      <c r="E36" s="11"/>
    </row>
    <row r="37" spans="1:6" hidden="1" x14ac:dyDescent="0.25">
      <c r="A37" s="24" t="s">
        <v>115</v>
      </c>
      <c r="B37" s="24"/>
      <c r="C37" s="24"/>
      <c r="D37" s="24"/>
      <c r="E37" s="24"/>
    </row>
    <row r="38" spans="1:6" ht="63" hidden="1" x14ac:dyDescent="0.25">
      <c r="A38" s="9"/>
      <c r="B38" s="9" t="s">
        <v>63</v>
      </c>
      <c r="C38" s="9" t="s">
        <v>64</v>
      </c>
      <c r="D38" s="9">
        <f>(63+2.05*2+1.65*2)*1.2</f>
        <v>84.47999999999999</v>
      </c>
      <c r="E38" s="9"/>
    </row>
    <row r="39" spans="1:6" hidden="1" x14ac:dyDescent="0.25">
      <c r="A39" s="11"/>
      <c r="B39" s="11" t="s">
        <v>65</v>
      </c>
      <c r="C39" s="11" t="s">
        <v>32</v>
      </c>
      <c r="D39" s="11">
        <f>D38*0.7*1.15</f>
        <v>68.006399999999985</v>
      </c>
      <c r="E39" s="11"/>
    </row>
    <row r="40" spans="1:6" hidden="1" x14ac:dyDescent="0.25">
      <c r="A40" s="11"/>
      <c r="B40" s="11" t="s">
        <v>66</v>
      </c>
      <c r="C40" s="11" t="s">
        <v>32</v>
      </c>
      <c r="D40" s="11">
        <f>D38*0.81*1.15</f>
        <v>78.693119999999993</v>
      </c>
      <c r="E40" s="11"/>
    </row>
    <row r="41" spans="1:6" hidden="1" x14ac:dyDescent="0.25">
      <c r="A41" s="11"/>
      <c r="B41" s="11" t="s">
        <v>67</v>
      </c>
      <c r="C41" s="11" t="s">
        <v>43</v>
      </c>
      <c r="D41" s="11">
        <f>0.25*D38*0.94</f>
        <v>19.852799999999995</v>
      </c>
      <c r="E41" s="11" t="s">
        <v>46</v>
      </c>
    </row>
    <row r="42" spans="1:6" ht="31.5" hidden="1" x14ac:dyDescent="0.25">
      <c r="A42" s="11"/>
      <c r="B42" s="11" t="s">
        <v>68</v>
      </c>
      <c r="C42" s="11" t="s">
        <v>64</v>
      </c>
      <c r="D42" s="11">
        <f>D38</f>
        <v>84.47999999999999</v>
      </c>
      <c r="E42" s="11"/>
    </row>
    <row r="43" spans="1:6" hidden="1" x14ac:dyDescent="0.25">
      <c r="A43" s="11"/>
      <c r="B43" s="11" t="s">
        <v>69</v>
      </c>
      <c r="C43" s="11" t="s">
        <v>59</v>
      </c>
      <c r="D43" s="11">
        <f>ROUNDUP(D42/0.5,0)</f>
        <v>169</v>
      </c>
      <c r="E43" s="11"/>
    </row>
    <row r="44" spans="1:6" hidden="1" x14ac:dyDescent="0.25">
      <c r="A44" s="11"/>
      <c r="B44" s="11" t="s">
        <v>70</v>
      </c>
      <c r="C44" s="11" t="s">
        <v>59</v>
      </c>
      <c r="D44" s="11">
        <f>ROUNDUP(D42/1.2,0)</f>
        <v>71</v>
      </c>
      <c r="E44" s="11"/>
    </row>
    <row r="45" spans="1:6" hidden="1" x14ac:dyDescent="0.25">
      <c r="A45" s="11"/>
      <c r="B45" s="11" t="s">
        <v>71</v>
      </c>
      <c r="C45" s="11" t="s">
        <v>32</v>
      </c>
      <c r="D45" s="11">
        <f>D38*0.25</f>
        <v>21.119999999999997</v>
      </c>
      <c r="E45" s="11"/>
    </row>
    <row r="46" spans="1:6" hidden="1" x14ac:dyDescent="0.25">
      <c r="A46" s="11"/>
      <c r="B46" s="11" t="s">
        <v>72</v>
      </c>
      <c r="C46" s="11" t="s">
        <v>59</v>
      </c>
      <c r="D46" s="11">
        <f>ROUNDUP(D38/0.3,0)</f>
        <v>282</v>
      </c>
      <c r="E46" s="11"/>
    </row>
    <row r="47" spans="1:6" ht="31.5" hidden="1" x14ac:dyDescent="0.25">
      <c r="A47" s="11"/>
      <c r="B47" s="11" t="s">
        <v>73</v>
      </c>
      <c r="C47" s="11" t="s">
        <v>59</v>
      </c>
      <c r="D47" s="11">
        <f>ROUNDUP((D38*0.01*0.02)/0.00031,0)</f>
        <v>55</v>
      </c>
      <c r="E47" s="11"/>
    </row>
    <row r="48" spans="1:6" x14ac:dyDescent="0.25">
      <c r="A48" s="24" t="s">
        <v>146</v>
      </c>
      <c r="B48" s="24"/>
      <c r="C48" s="24"/>
      <c r="D48" s="24"/>
      <c r="E48" s="24"/>
      <c r="F48" s="18" t="s">
        <v>117</v>
      </c>
    </row>
    <row r="49" spans="1:8" ht="31.5" x14ac:dyDescent="0.25">
      <c r="A49" s="9"/>
      <c r="B49" s="9" t="s">
        <v>127</v>
      </c>
      <c r="C49" s="9" t="s">
        <v>64</v>
      </c>
      <c r="D49" s="9">
        <f>ROUNDUP(21.92+11.24,1)</f>
        <v>33.200000000000003</v>
      </c>
      <c r="E49" s="14" t="s">
        <v>118</v>
      </c>
      <c r="F49" s="18"/>
    </row>
    <row r="50" spans="1:8" ht="31.5" x14ac:dyDescent="0.25">
      <c r="A50" s="11"/>
      <c r="B50" s="11" t="s">
        <v>120</v>
      </c>
      <c r="C50" s="11" t="s">
        <v>64</v>
      </c>
      <c r="D50" s="11">
        <f>D49</f>
        <v>33.200000000000003</v>
      </c>
      <c r="E50" s="11"/>
      <c r="F50" s="18" t="s">
        <v>116</v>
      </c>
    </row>
    <row r="51" spans="1:8" x14ac:dyDescent="0.25">
      <c r="A51" s="11"/>
      <c r="B51" s="11" t="s">
        <v>195</v>
      </c>
      <c r="C51" s="11" t="s">
        <v>59</v>
      </c>
      <c r="D51" s="11">
        <f>D52</f>
        <v>136</v>
      </c>
      <c r="E51" s="11"/>
      <c r="F51" s="18"/>
    </row>
    <row r="52" spans="1:8" ht="31.5" x14ac:dyDescent="0.25">
      <c r="A52" s="9"/>
      <c r="B52" s="9" t="s">
        <v>196</v>
      </c>
      <c r="C52" s="9" t="s">
        <v>59</v>
      </c>
      <c r="D52" s="9">
        <f>ROUNDUP(D49/1,0)*4</f>
        <v>136</v>
      </c>
      <c r="E52" s="9"/>
      <c r="F52" s="18" t="s">
        <v>119</v>
      </c>
    </row>
    <row r="53" spans="1:8" ht="31.5" x14ac:dyDescent="0.25">
      <c r="A53" s="9"/>
      <c r="B53" s="9" t="s">
        <v>128</v>
      </c>
      <c r="C53" s="9" t="s">
        <v>64</v>
      </c>
      <c r="D53" s="21">
        <f>29.1</f>
        <v>29.1</v>
      </c>
      <c r="E53" s="14" t="s">
        <v>118</v>
      </c>
      <c r="F53" s="18" t="s">
        <v>119</v>
      </c>
    </row>
    <row r="54" spans="1:8" ht="47.25" x14ac:dyDescent="0.25">
      <c r="A54" s="11"/>
      <c r="B54" s="11" t="s">
        <v>145</v>
      </c>
      <c r="C54" s="11" t="s">
        <v>64</v>
      </c>
      <c r="D54" s="11">
        <f>D53</f>
        <v>29.1</v>
      </c>
      <c r="E54" s="11"/>
      <c r="F54" s="18" t="s">
        <v>119</v>
      </c>
    </row>
    <row r="55" spans="1:8" x14ac:dyDescent="0.25">
      <c r="A55" s="11"/>
      <c r="B55" s="11" t="s">
        <v>195</v>
      </c>
      <c r="C55" s="11" t="s">
        <v>59</v>
      </c>
      <c r="D55" s="11">
        <f>D56</f>
        <v>112</v>
      </c>
      <c r="E55" s="11"/>
      <c r="F55" s="18" t="s">
        <v>119</v>
      </c>
    </row>
    <row r="56" spans="1:8" ht="31.5" x14ac:dyDescent="0.25">
      <c r="A56" s="9"/>
      <c r="B56" s="9" t="s">
        <v>197</v>
      </c>
      <c r="C56" s="9" t="s">
        <v>59</v>
      </c>
      <c r="D56" s="9">
        <f>4*28</f>
        <v>112</v>
      </c>
      <c r="E56" s="9"/>
      <c r="F56" s="18" t="s">
        <v>119</v>
      </c>
    </row>
    <row r="57" spans="1:8" ht="31.5" x14ac:dyDescent="0.25">
      <c r="A57" s="9"/>
      <c r="B57" s="9" t="s">
        <v>148</v>
      </c>
      <c r="C57" s="9" t="s">
        <v>64</v>
      </c>
      <c r="D57" s="21">
        <f>20</f>
        <v>20</v>
      </c>
      <c r="E57" s="14"/>
      <c r="F57" s="18" t="s">
        <v>119</v>
      </c>
      <c r="H57">
        <f>2+8.5</f>
        <v>10.5</v>
      </c>
    </row>
    <row r="58" spans="1:8" ht="31.5" x14ac:dyDescent="0.25">
      <c r="A58" s="11"/>
      <c r="B58" s="11" t="s">
        <v>198</v>
      </c>
      <c r="C58" s="11" t="s">
        <v>64</v>
      </c>
      <c r="D58" s="11">
        <v>20</v>
      </c>
      <c r="E58" s="11"/>
      <c r="F58" s="18" t="s">
        <v>119</v>
      </c>
    </row>
    <row r="59" spans="1:8" x14ac:dyDescent="0.25">
      <c r="A59" s="24" t="s">
        <v>141</v>
      </c>
      <c r="B59" s="24"/>
      <c r="C59" s="24"/>
      <c r="D59" s="24"/>
      <c r="E59" s="24"/>
    </row>
    <row r="60" spans="1:8" x14ac:dyDescent="0.25">
      <c r="A60" s="9"/>
      <c r="B60" s="9" t="s">
        <v>143</v>
      </c>
      <c r="C60" s="9" t="s">
        <v>74</v>
      </c>
      <c r="D60" s="9">
        <f>((165+128+49+47+67+39+25+15+96+86+89+58)*16.76+(12+4+3+2+7+5)*78.5)*1.04/1000</f>
        <v>17.7539856</v>
      </c>
      <c r="E60" s="9"/>
    </row>
    <row r="61" spans="1:8" ht="31.5" x14ac:dyDescent="0.25">
      <c r="A61" s="11"/>
      <c r="B61" s="11" t="s">
        <v>75</v>
      </c>
      <c r="C61" s="11" t="s">
        <v>74</v>
      </c>
      <c r="D61" s="11">
        <f>(165+128+49+47+67+39+25+15+96+86+89+58)*16.76/1000*1.04</f>
        <v>15.059865600000002</v>
      </c>
      <c r="E61" s="11"/>
    </row>
    <row r="62" spans="1:8" x14ac:dyDescent="0.25">
      <c r="A62" s="11"/>
      <c r="B62" s="11" t="s">
        <v>111</v>
      </c>
      <c r="C62" s="11" t="s">
        <v>74</v>
      </c>
      <c r="D62" s="11">
        <f>(12+4+3+2+7+5)*78.5/1000*1.04</f>
        <v>2.6941200000000003</v>
      </c>
      <c r="E62" s="11"/>
    </row>
    <row r="63" spans="1:8" ht="31.5" x14ac:dyDescent="0.25">
      <c r="A63" s="11"/>
      <c r="B63" s="11" t="s">
        <v>76</v>
      </c>
      <c r="C63" s="11" t="s">
        <v>59</v>
      </c>
      <c r="D63" s="11">
        <f>516+196+132+68+296+196</f>
        <v>1404</v>
      </c>
      <c r="E63" s="11"/>
    </row>
    <row r="64" spans="1:8" x14ac:dyDescent="0.25">
      <c r="A64" s="9"/>
      <c r="B64" s="9" t="s">
        <v>144</v>
      </c>
      <c r="C64" s="9" t="s">
        <v>74</v>
      </c>
      <c r="D64" s="9">
        <f>D65*1.04</f>
        <v>13.103896000000002</v>
      </c>
      <c r="E64" s="9"/>
      <c r="F64" s="18" t="s">
        <v>119</v>
      </c>
    </row>
    <row r="65" spans="1:6" x14ac:dyDescent="0.25">
      <c r="A65" s="11"/>
      <c r="B65" s="11" t="s">
        <v>142</v>
      </c>
      <c r="C65" s="11" t="s">
        <v>74</v>
      </c>
      <c r="D65" s="11">
        <f>15.46*815/1000</f>
        <v>12.599900000000002</v>
      </c>
      <c r="E65" s="11"/>
      <c r="F65" s="18" t="s">
        <v>119</v>
      </c>
    </row>
    <row r="66" spans="1:6" ht="31.5" x14ac:dyDescent="0.25">
      <c r="A66" s="11"/>
      <c r="B66" s="11" t="s">
        <v>76</v>
      </c>
      <c r="C66" s="11" t="s">
        <v>59</v>
      </c>
      <c r="D66" s="11">
        <v>670</v>
      </c>
      <c r="E66" s="11"/>
      <c r="F66" s="18" t="s">
        <v>119</v>
      </c>
    </row>
    <row r="67" spans="1:6" ht="31.5" x14ac:dyDescent="0.25">
      <c r="A67" s="9"/>
      <c r="B67" s="9" t="s">
        <v>77</v>
      </c>
      <c r="C67" s="9" t="s">
        <v>59</v>
      </c>
      <c r="D67" s="9">
        <f>D66+D63</f>
        <v>2074</v>
      </c>
      <c r="E67" s="9"/>
      <c r="F67" s="18" t="s">
        <v>147</v>
      </c>
    </row>
    <row r="68" spans="1:6" ht="31.5" x14ac:dyDescent="0.25">
      <c r="A68" s="9"/>
      <c r="B68" s="9" t="s">
        <v>78</v>
      </c>
      <c r="C68" s="9" t="s">
        <v>32</v>
      </c>
      <c r="D68" s="9">
        <f>0.14*4*(165+128+49+47+67+39+25+15+96+86+89+58)+(12+4+3+2+7+5)*2+0.49*815</f>
        <v>949.19</v>
      </c>
      <c r="E68" s="9"/>
      <c r="F68" s="18" t="s">
        <v>147</v>
      </c>
    </row>
    <row r="69" spans="1:6" ht="31.5" x14ac:dyDescent="0.25">
      <c r="A69" s="9"/>
      <c r="B69" s="9" t="s">
        <v>79</v>
      </c>
      <c r="C69" s="9" t="s">
        <v>32</v>
      </c>
      <c r="D69" s="9">
        <f>D68</f>
        <v>949.19</v>
      </c>
      <c r="E69" s="9"/>
      <c r="F69" s="18" t="s">
        <v>147</v>
      </c>
    </row>
    <row r="70" spans="1:6" x14ac:dyDescent="0.25">
      <c r="A70" s="24" t="s">
        <v>188</v>
      </c>
      <c r="B70" s="24"/>
      <c r="C70" s="24"/>
      <c r="D70" s="24"/>
      <c r="E70" s="24"/>
      <c r="F70" s="18" t="s">
        <v>119</v>
      </c>
    </row>
    <row r="71" spans="1:6" ht="31.5" x14ac:dyDescent="0.25">
      <c r="A71" s="9"/>
      <c r="B71" s="9" t="s">
        <v>189</v>
      </c>
      <c r="C71" s="9" t="s">
        <v>64</v>
      </c>
      <c r="D71" s="9">
        <f>26.1+30.3</f>
        <v>56.400000000000006</v>
      </c>
      <c r="E71" s="14" t="s">
        <v>118</v>
      </c>
      <c r="F71" s="18" t="s">
        <v>119</v>
      </c>
    </row>
    <row r="72" spans="1:6" ht="31.5" x14ac:dyDescent="0.25">
      <c r="A72" s="11"/>
      <c r="B72" s="11" t="s">
        <v>191</v>
      </c>
      <c r="C72" s="11" t="s">
        <v>64</v>
      </c>
      <c r="D72" s="11">
        <f>D71</f>
        <v>56.400000000000006</v>
      </c>
      <c r="E72" s="11"/>
      <c r="F72" s="18" t="s">
        <v>119</v>
      </c>
    </row>
    <row r="73" spans="1:6" ht="31.5" x14ac:dyDescent="0.25">
      <c r="A73" s="22"/>
      <c r="B73" s="9" t="s">
        <v>190</v>
      </c>
      <c r="C73" s="22" t="s">
        <v>64</v>
      </c>
      <c r="D73" s="22">
        <f>10.8+20.8+1.2+1.6+12.6</f>
        <v>47.000000000000007</v>
      </c>
      <c r="E73" s="14" t="s">
        <v>118</v>
      </c>
      <c r="F73" s="18" t="s">
        <v>119</v>
      </c>
    </row>
    <row r="74" spans="1:6" ht="31.5" x14ac:dyDescent="0.25">
      <c r="A74" s="19"/>
      <c r="B74" s="11" t="s">
        <v>192</v>
      </c>
      <c r="C74" s="11" t="s">
        <v>64</v>
      </c>
      <c r="D74" s="11">
        <f>D73</f>
        <v>47.000000000000007</v>
      </c>
      <c r="E74" s="11"/>
      <c r="F74" s="18" t="s">
        <v>119</v>
      </c>
    </row>
    <row r="75" spans="1:6" x14ac:dyDescent="0.25">
      <c r="A75" s="12"/>
      <c r="B75" s="12"/>
      <c r="C75" s="12"/>
      <c r="D75" s="12"/>
      <c r="E75" s="12"/>
    </row>
  </sheetData>
  <mergeCells count="9">
    <mergeCell ref="A70:E70"/>
    <mergeCell ref="A1:D1"/>
    <mergeCell ref="B2:E2"/>
    <mergeCell ref="A4:E4"/>
    <mergeCell ref="A15:E15"/>
    <mergeCell ref="A48:E48"/>
    <mergeCell ref="A59:E59"/>
    <mergeCell ref="A26:E26"/>
    <mergeCell ref="A37:E37"/>
  </mergeCells>
  <phoneticPr fontId="5" type="noConversion"/>
  <hyperlinks>
    <hyperlink ref="E49" r:id="rId1"/>
    <hyperlink ref="E53" r:id="rId2"/>
    <hyperlink ref="E71" r:id="rId3"/>
    <hyperlink ref="E7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2"/>
  <sheetViews>
    <sheetView tabSelected="1" zoomScaleNormal="100" workbookViewId="0">
      <selection activeCell="B7" sqref="B7"/>
    </sheetView>
  </sheetViews>
  <sheetFormatPr defaultRowHeight="15.75" x14ac:dyDescent="0.25"/>
  <cols>
    <col min="1" max="1" width="13.25" style="12" customWidth="1"/>
    <col min="2" max="2" width="44.625" style="8" customWidth="1"/>
    <col min="3" max="3" width="12.5" style="12" customWidth="1"/>
    <col min="4" max="4" width="10.75" style="12" customWidth="1"/>
    <col min="5" max="5" width="33.125" style="12" customWidth="1"/>
    <col min="6" max="6" width="15.25" customWidth="1"/>
  </cols>
  <sheetData>
    <row r="1" spans="1:6" x14ac:dyDescent="0.25">
      <c r="A1" s="26" t="s">
        <v>21</v>
      </c>
      <c r="B1" s="26"/>
      <c r="C1" s="26"/>
      <c r="D1" s="26"/>
      <c r="E1" s="2">
        <f ca="1">TODAY()</f>
        <v>45862</v>
      </c>
    </row>
    <row r="2" spans="1:6" x14ac:dyDescent="0.25">
      <c r="A2" s="4" t="s">
        <v>22</v>
      </c>
      <c r="B2" s="26" t="s">
        <v>206</v>
      </c>
      <c r="C2" s="26"/>
      <c r="D2" s="26"/>
      <c r="E2" s="26"/>
    </row>
    <row r="3" spans="1:6" ht="31.5" x14ac:dyDescent="0.25">
      <c r="A3" s="7" t="s">
        <v>24</v>
      </c>
      <c r="B3" s="7" t="s">
        <v>25</v>
      </c>
      <c r="C3" s="7" t="s">
        <v>26</v>
      </c>
      <c r="D3" s="7" t="s">
        <v>27</v>
      </c>
      <c r="E3" s="7" t="s">
        <v>28</v>
      </c>
    </row>
    <row r="4" spans="1:6" x14ac:dyDescent="0.25">
      <c r="A4" s="27" t="s">
        <v>29</v>
      </c>
      <c r="B4" s="28"/>
      <c r="C4" s="28"/>
      <c r="D4" s="28"/>
      <c r="E4" s="29"/>
    </row>
    <row r="5" spans="1:6" ht="15.6" customHeight="1" x14ac:dyDescent="0.25">
      <c r="A5" s="30" t="s">
        <v>132</v>
      </c>
      <c r="B5" s="31"/>
      <c r="C5" s="31"/>
      <c r="D5" s="31"/>
      <c r="E5" s="32"/>
      <c r="F5" s="12" t="s">
        <v>30</v>
      </c>
    </row>
    <row r="6" spans="1:6" ht="31.5" x14ac:dyDescent="0.25">
      <c r="A6" s="9"/>
      <c r="B6" s="9" t="s">
        <v>31</v>
      </c>
      <c r="C6" s="9" t="s">
        <v>32</v>
      </c>
      <c r="D6" s="9">
        <f>162.19+149.799+F6*(0.15+0.18+0.25)</f>
        <v>486.66064</v>
      </c>
      <c r="E6" s="9"/>
      <c r="F6" s="8">
        <f>'ВОР Кровля'!D229+'ВОР Кровля'!D195</f>
        <v>301.15799999999996</v>
      </c>
    </row>
    <row r="7" spans="1:6" x14ac:dyDescent="0.25">
      <c r="A7" s="10"/>
      <c r="B7" s="10" t="s">
        <v>33</v>
      </c>
      <c r="C7" s="10" t="s">
        <v>32</v>
      </c>
      <c r="D7" s="10">
        <f>1.15*D6</f>
        <v>559.65973599999995</v>
      </c>
      <c r="E7" s="10"/>
      <c r="F7" s="8"/>
    </row>
    <row r="8" spans="1:6" ht="47.25" x14ac:dyDescent="0.25">
      <c r="A8" s="9"/>
      <c r="B8" s="9" t="s">
        <v>34</v>
      </c>
      <c r="C8" s="9" t="s">
        <v>35</v>
      </c>
      <c r="D8" s="9">
        <f>(162.19+149.799)*0.18</f>
        <v>56.15802</v>
      </c>
      <c r="E8" s="9"/>
      <c r="F8" s="8"/>
    </row>
    <row r="9" spans="1:6" ht="31.5" x14ac:dyDescent="0.25">
      <c r="A9" s="10"/>
      <c r="B9" s="10" t="s">
        <v>36</v>
      </c>
      <c r="C9" s="10" t="s">
        <v>35</v>
      </c>
      <c r="D9" s="10">
        <f>(162.19+149.799)*0.1*1.03</f>
        <v>32.134867000000007</v>
      </c>
      <c r="E9" s="10"/>
      <c r="F9" s="8"/>
    </row>
    <row r="10" spans="1:6" ht="31.5" x14ac:dyDescent="0.25">
      <c r="A10" s="10"/>
      <c r="B10" s="10" t="s">
        <v>37</v>
      </c>
      <c r="C10" s="10" t="s">
        <v>35</v>
      </c>
      <c r="D10" s="10">
        <f>(162.19+149.799)*0.08*1.03</f>
        <v>25.707893600000002</v>
      </c>
      <c r="E10" s="10"/>
      <c r="F10" s="8"/>
    </row>
    <row r="11" spans="1:6" ht="47.25" x14ac:dyDescent="0.25">
      <c r="A11" s="9"/>
      <c r="B11" s="9" t="s">
        <v>38</v>
      </c>
      <c r="C11" s="9" t="s">
        <v>32</v>
      </c>
      <c r="D11" s="9">
        <f>162.19+149.799</f>
        <v>311.98900000000003</v>
      </c>
      <c r="E11" s="9"/>
      <c r="F11" s="8"/>
    </row>
    <row r="12" spans="1:6" ht="31.5" x14ac:dyDescent="0.25">
      <c r="A12" s="10"/>
      <c r="B12" s="10" t="s">
        <v>39</v>
      </c>
      <c r="C12" s="10" t="s">
        <v>35</v>
      </c>
      <c r="D12" s="10">
        <f>D11*0.14*1.03</f>
        <v>44.98881380000001</v>
      </c>
      <c r="E12" s="10"/>
      <c r="F12" s="8"/>
    </row>
    <row r="13" spans="1:6" ht="31.5" x14ac:dyDescent="0.25">
      <c r="A13" s="9"/>
      <c r="B13" s="9" t="s">
        <v>40</v>
      </c>
      <c r="C13" s="9" t="s">
        <v>32</v>
      </c>
      <c r="D13" s="9">
        <f>D11</f>
        <v>311.98900000000003</v>
      </c>
      <c r="E13" s="9"/>
      <c r="F13" s="8"/>
    </row>
    <row r="14" spans="1:6" x14ac:dyDescent="0.25">
      <c r="A14" s="10"/>
      <c r="B14" s="10" t="s">
        <v>41</v>
      </c>
      <c r="C14" s="10" t="s">
        <v>35</v>
      </c>
      <c r="D14" s="10">
        <f>D13*0.05</f>
        <v>15.599450000000003</v>
      </c>
      <c r="E14" s="10"/>
      <c r="F14" s="8"/>
    </row>
    <row r="15" spans="1:6" x14ac:dyDescent="0.25">
      <c r="A15" s="10"/>
      <c r="B15" s="10" t="s">
        <v>42</v>
      </c>
      <c r="C15" s="10" t="s">
        <v>43</v>
      </c>
      <c r="D15" s="10">
        <f>3.17*D13</f>
        <v>989.00513000000012</v>
      </c>
      <c r="E15" s="10"/>
      <c r="F15" s="8"/>
    </row>
    <row r="16" spans="1:6" x14ac:dyDescent="0.25">
      <c r="A16" s="9"/>
      <c r="B16" s="9" t="s">
        <v>44</v>
      </c>
      <c r="C16" s="9" t="s">
        <v>32</v>
      </c>
      <c r="D16" s="9">
        <f>D13</f>
        <v>311.98900000000003</v>
      </c>
      <c r="E16" s="9"/>
      <c r="F16" s="8"/>
    </row>
    <row r="17" spans="1:6" x14ac:dyDescent="0.25">
      <c r="A17" s="11"/>
      <c r="B17" s="11" t="s">
        <v>45</v>
      </c>
      <c r="C17" s="11" t="s">
        <v>43</v>
      </c>
      <c r="D17" s="11">
        <f>0.25*D16</f>
        <v>77.997250000000008</v>
      </c>
      <c r="E17" s="11" t="s">
        <v>46</v>
      </c>
      <c r="F17" s="8"/>
    </row>
    <row r="18" spans="1:6" ht="31.5" x14ac:dyDescent="0.25">
      <c r="A18" s="9"/>
      <c r="B18" s="9" t="s">
        <v>47</v>
      </c>
      <c r="C18" s="9" t="s">
        <v>32</v>
      </c>
      <c r="D18" s="9">
        <f>D16</f>
        <v>311.98900000000003</v>
      </c>
      <c r="E18" s="9"/>
      <c r="F18" s="8"/>
    </row>
    <row r="19" spans="1:6" x14ac:dyDescent="0.25">
      <c r="A19" s="11"/>
      <c r="B19" s="11" t="s">
        <v>48</v>
      </c>
      <c r="C19" s="11" t="s">
        <v>32</v>
      </c>
      <c r="D19" s="11">
        <f>D18*2.3</f>
        <v>717.57470000000001</v>
      </c>
      <c r="E19" s="11"/>
      <c r="F19" s="8"/>
    </row>
    <row r="20" spans="1:6" ht="31.5" x14ac:dyDescent="0.25">
      <c r="A20" s="9"/>
      <c r="B20" s="9" t="s">
        <v>49</v>
      </c>
      <c r="C20" s="9" t="s">
        <v>32</v>
      </c>
      <c r="D20" s="9">
        <f>D18</f>
        <v>311.98900000000003</v>
      </c>
      <c r="E20" s="9"/>
      <c r="F20" s="8"/>
    </row>
    <row r="21" spans="1:6" x14ac:dyDescent="0.25">
      <c r="A21" s="11"/>
      <c r="B21" s="11" t="s">
        <v>50</v>
      </c>
      <c r="C21" s="11" t="s">
        <v>32</v>
      </c>
      <c r="D21" s="11">
        <f>D20*1.09</f>
        <v>340.06801000000007</v>
      </c>
      <c r="E21" s="11"/>
      <c r="F21" s="8"/>
    </row>
    <row r="22" spans="1:6" ht="31.5" x14ac:dyDescent="0.25">
      <c r="A22" s="9"/>
      <c r="B22" s="9" t="s">
        <v>51</v>
      </c>
      <c r="C22" s="9" t="s">
        <v>32</v>
      </c>
      <c r="D22" s="9">
        <f>D20</f>
        <v>311.98900000000003</v>
      </c>
      <c r="E22" s="9"/>
      <c r="F22" s="8"/>
    </row>
    <row r="23" spans="1:6" x14ac:dyDescent="0.25">
      <c r="A23" s="11"/>
      <c r="B23" s="11" t="s">
        <v>52</v>
      </c>
      <c r="C23" s="11" t="s">
        <v>35</v>
      </c>
      <c r="D23" s="11">
        <f>D22*0.04</f>
        <v>12.479560000000001</v>
      </c>
      <c r="E23" s="11" t="s">
        <v>53</v>
      </c>
      <c r="F23" s="8"/>
    </row>
    <row r="24" spans="1:6" ht="31.5" x14ac:dyDescent="0.25">
      <c r="A24" s="9"/>
      <c r="B24" s="9" t="s">
        <v>54</v>
      </c>
      <c r="C24" s="9" t="s">
        <v>32</v>
      </c>
      <c r="D24" s="9">
        <f>D22</f>
        <v>311.98900000000003</v>
      </c>
      <c r="E24" s="9"/>
      <c r="F24" s="8"/>
    </row>
    <row r="25" spans="1:6" x14ac:dyDescent="0.25">
      <c r="A25" s="11"/>
      <c r="B25" s="11" t="s">
        <v>55</v>
      </c>
      <c r="C25" s="11" t="s">
        <v>35</v>
      </c>
      <c r="D25" s="11">
        <f>D24*0.02</f>
        <v>6.2397800000000005</v>
      </c>
      <c r="E25" s="11" t="s">
        <v>53</v>
      </c>
      <c r="F25" s="8"/>
    </row>
    <row r="26" spans="1:6" ht="31.5" x14ac:dyDescent="0.25">
      <c r="A26" s="9"/>
      <c r="B26" s="9" t="s">
        <v>56</v>
      </c>
      <c r="C26" s="9" t="s">
        <v>32</v>
      </c>
      <c r="D26" s="9">
        <f>D24</f>
        <v>311.98900000000003</v>
      </c>
      <c r="E26" s="9"/>
      <c r="F26" s="8"/>
    </row>
    <row r="27" spans="1:6" x14ac:dyDescent="0.25">
      <c r="A27" s="11"/>
      <c r="B27" s="11" t="s">
        <v>57</v>
      </c>
      <c r="C27" s="11" t="s">
        <v>32</v>
      </c>
      <c r="D27" s="11">
        <f>D26</f>
        <v>311.98900000000003</v>
      </c>
      <c r="E27" s="11"/>
      <c r="F27" s="8"/>
    </row>
    <row r="28" spans="1:6" x14ac:dyDescent="0.25">
      <c r="A28" s="9"/>
      <c r="B28" s="9" t="s">
        <v>58</v>
      </c>
      <c r="C28" s="9" t="s">
        <v>59</v>
      </c>
      <c r="D28" s="9">
        <v>4</v>
      </c>
      <c r="E28" s="9"/>
      <c r="F28" s="8"/>
    </row>
    <row r="29" spans="1:6" ht="31.5" x14ac:dyDescent="0.25">
      <c r="A29" s="11"/>
      <c r="B29" s="11" t="s">
        <v>60</v>
      </c>
      <c r="C29" s="11" t="s">
        <v>59</v>
      </c>
      <c r="D29" s="11">
        <f>D28</f>
        <v>4</v>
      </c>
      <c r="E29" s="11"/>
      <c r="F29" s="8"/>
    </row>
    <row r="30" spans="1:6" x14ac:dyDescent="0.25">
      <c r="A30" s="9"/>
      <c r="B30" s="9" t="s">
        <v>61</v>
      </c>
      <c r="C30" s="9" t="s">
        <v>59</v>
      </c>
      <c r="D30" s="9">
        <f>ROUNDUP(D18/100,0)</f>
        <v>4</v>
      </c>
      <c r="E30" s="9"/>
      <c r="F30" s="8"/>
    </row>
    <row r="31" spans="1:6" ht="31.5" x14ac:dyDescent="0.25">
      <c r="A31" s="11"/>
      <c r="B31" s="11" t="s">
        <v>62</v>
      </c>
      <c r="C31" s="11"/>
      <c r="D31" s="11">
        <f>D30</f>
        <v>4</v>
      </c>
      <c r="E31" s="11"/>
      <c r="F31" s="8"/>
    </row>
    <row r="32" spans="1:6" x14ac:dyDescent="0.25">
      <c r="A32" s="30" t="s">
        <v>133</v>
      </c>
      <c r="B32" s="31"/>
      <c r="C32" s="31"/>
      <c r="D32" s="31"/>
      <c r="E32" s="32"/>
      <c r="F32" s="12" t="s">
        <v>93</v>
      </c>
    </row>
    <row r="33" spans="1:6" ht="31.5" x14ac:dyDescent="0.25">
      <c r="A33" s="9"/>
      <c r="B33" s="9" t="s">
        <v>31</v>
      </c>
      <c r="C33" s="9" t="s">
        <v>32</v>
      </c>
      <c r="D33" s="9">
        <f>747.875+F33*(0.15+0.18+0.25)</f>
        <v>915.98675879999996</v>
      </c>
      <c r="E33" s="9"/>
      <c r="F33" s="8">
        <f>'ВОР Кровля'!D112+'ВОР Ме каркас, ограждения'!D16+'ВОР Кровля'!D138</f>
        <v>289.84785999999997</v>
      </c>
    </row>
    <row r="34" spans="1:6" x14ac:dyDescent="0.25">
      <c r="A34" s="10"/>
      <c r="B34" s="10" t="s">
        <v>33</v>
      </c>
      <c r="C34" s="10" t="s">
        <v>32</v>
      </c>
      <c r="D34" s="10">
        <f>1.15*D33</f>
        <v>1053.3847726199999</v>
      </c>
      <c r="E34" s="10"/>
      <c r="F34" s="8"/>
    </row>
    <row r="35" spans="1:6" ht="47.25" x14ac:dyDescent="0.25">
      <c r="A35" s="9"/>
      <c r="B35" s="9" t="s">
        <v>34</v>
      </c>
      <c r="C35" s="9" t="s">
        <v>35</v>
      </c>
      <c r="D35" s="9">
        <f>747.875*0.18</f>
        <v>134.61750000000001</v>
      </c>
      <c r="E35" s="9"/>
      <c r="F35" s="8"/>
    </row>
    <row r="36" spans="1:6" ht="31.5" x14ac:dyDescent="0.25">
      <c r="A36" s="10"/>
      <c r="B36" s="10" t="s">
        <v>36</v>
      </c>
      <c r="C36" s="10" t="s">
        <v>35</v>
      </c>
      <c r="D36" s="10">
        <f>D33*0.1*1.03</f>
        <v>94.34663615640001</v>
      </c>
      <c r="E36" s="10"/>
      <c r="F36" s="8"/>
    </row>
    <row r="37" spans="1:6" ht="31.5" x14ac:dyDescent="0.25">
      <c r="A37" s="10"/>
      <c r="B37" s="10" t="s">
        <v>37</v>
      </c>
      <c r="C37" s="10" t="s">
        <v>35</v>
      </c>
      <c r="D37" s="10">
        <f>D33*0.08*1.03</f>
        <v>75.477308925119999</v>
      </c>
      <c r="E37" s="10"/>
      <c r="F37" s="8"/>
    </row>
    <row r="38" spans="1:6" ht="47.25" x14ac:dyDescent="0.25">
      <c r="A38" s="9"/>
      <c r="B38" s="9" t="s">
        <v>38</v>
      </c>
      <c r="C38" s="9" t="s">
        <v>32</v>
      </c>
      <c r="D38" s="9">
        <v>747.875</v>
      </c>
      <c r="E38" s="9"/>
      <c r="F38" s="8"/>
    </row>
    <row r="39" spans="1:6" ht="31.5" x14ac:dyDescent="0.25">
      <c r="A39" s="10"/>
      <c r="B39" s="10" t="s">
        <v>39</v>
      </c>
      <c r="C39" s="10" t="s">
        <v>35</v>
      </c>
      <c r="D39" s="10">
        <f>D38*0.14*1.03</f>
        <v>107.84357500000002</v>
      </c>
      <c r="E39" s="10"/>
      <c r="F39" s="8"/>
    </row>
    <row r="40" spans="1:6" ht="47.25" x14ac:dyDescent="0.25">
      <c r="A40" s="9"/>
      <c r="B40" s="9" t="s">
        <v>94</v>
      </c>
      <c r="C40" s="9" t="s">
        <v>32</v>
      </c>
      <c r="D40" s="9">
        <f>D38</f>
        <v>747.875</v>
      </c>
      <c r="E40" s="9"/>
      <c r="F40" s="8"/>
    </row>
    <row r="41" spans="1:6" ht="31.5" x14ac:dyDescent="0.25">
      <c r="A41" s="9"/>
      <c r="B41" s="9" t="s">
        <v>95</v>
      </c>
      <c r="C41" s="9" t="s">
        <v>32</v>
      </c>
      <c r="D41" s="9">
        <f>D40</f>
        <v>747.875</v>
      </c>
      <c r="E41" s="9"/>
      <c r="F41" s="8"/>
    </row>
    <row r="42" spans="1:6" x14ac:dyDescent="0.25">
      <c r="A42" s="11"/>
      <c r="B42" s="11" t="s">
        <v>45</v>
      </c>
      <c r="C42" s="11" t="s">
        <v>43</v>
      </c>
      <c r="D42" s="11">
        <f>0.25*D41</f>
        <v>186.96875</v>
      </c>
      <c r="E42" s="11" t="s">
        <v>46</v>
      </c>
      <c r="F42" s="8"/>
    </row>
    <row r="43" spans="1:6" ht="31.5" x14ac:dyDescent="0.25">
      <c r="A43" s="9"/>
      <c r="B43" s="9" t="s">
        <v>96</v>
      </c>
      <c r="C43" s="9" t="s">
        <v>32</v>
      </c>
      <c r="D43" s="9">
        <f>D41</f>
        <v>747.875</v>
      </c>
      <c r="E43" s="9"/>
      <c r="F43" s="8"/>
    </row>
    <row r="44" spans="1:6" x14ac:dyDescent="0.25">
      <c r="A44" s="11"/>
      <c r="B44" s="11" t="s">
        <v>97</v>
      </c>
      <c r="C44" s="11" t="s">
        <v>32</v>
      </c>
      <c r="D44" s="11">
        <f>1.15*D43</f>
        <v>860.05624999999998</v>
      </c>
      <c r="E44" s="11"/>
      <c r="F44" s="8"/>
    </row>
    <row r="45" spans="1:6" x14ac:dyDescent="0.25">
      <c r="A45" s="11"/>
      <c r="B45" s="11" t="s">
        <v>65</v>
      </c>
      <c r="C45" s="11" t="s">
        <v>32</v>
      </c>
      <c r="D45" s="11">
        <f>D43*1.15</f>
        <v>860.05624999999998</v>
      </c>
      <c r="E45" s="11"/>
      <c r="F45" s="8"/>
    </row>
    <row r="46" spans="1:6" ht="31.5" x14ac:dyDescent="0.25">
      <c r="A46" s="9"/>
      <c r="B46" s="9" t="s">
        <v>98</v>
      </c>
      <c r="C46" s="9" t="s">
        <v>32</v>
      </c>
      <c r="D46" s="9">
        <f>D43</f>
        <v>747.875</v>
      </c>
      <c r="E46" s="9"/>
      <c r="F46" s="8"/>
    </row>
    <row r="47" spans="1:6" ht="31.5" x14ac:dyDescent="0.25">
      <c r="A47" s="9"/>
      <c r="B47" s="9" t="s">
        <v>51</v>
      </c>
      <c r="C47" s="9" t="s">
        <v>32</v>
      </c>
      <c r="D47" s="9">
        <f>D46</f>
        <v>747.875</v>
      </c>
      <c r="E47" s="9"/>
      <c r="F47" s="8"/>
    </row>
    <row r="48" spans="1:6" x14ac:dyDescent="0.25">
      <c r="A48" s="11"/>
      <c r="B48" s="11" t="s">
        <v>52</v>
      </c>
      <c r="C48" s="11" t="s">
        <v>35</v>
      </c>
      <c r="D48" s="11">
        <f>D47*0.04</f>
        <v>29.914999999999999</v>
      </c>
      <c r="E48" s="11" t="s">
        <v>53</v>
      </c>
      <c r="F48" s="8"/>
    </row>
    <row r="49" spans="1:6" ht="31.5" x14ac:dyDescent="0.25">
      <c r="A49" s="9"/>
      <c r="B49" s="9" t="s">
        <v>54</v>
      </c>
      <c r="C49" s="9" t="s">
        <v>32</v>
      </c>
      <c r="D49" s="9">
        <f>107</f>
        <v>107</v>
      </c>
      <c r="E49" s="9"/>
      <c r="F49" s="17" t="s">
        <v>147</v>
      </c>
    </row>
    <row r="50" spans="1:6" x14ac:dyDescent="0.25">
      <c r="A50" s="11"/>
      <c r="B50" s="11" t="s">
        <v>55</v>
      </c>
      <c r="C50" s="11" t="s">
        <v>35</v>
      </c>
      <c r="D50" s="11">
        <f>D49*0.02</f>
        <v>2.14</v>
      </c>
      <c r="E50" s="11" t="s">
        <v>53</v>
      </c>
      <c r="F50" s="8"/>
    </row>
    <row r="51" spans="1:6" ht="31.5" x14ac:dyDescent="0.25">
      <c r="A51" s="9"/>
      <c r="B51" s="9" t="s">
        <v>56</v>
      </c>
      <c r="C51" s="9" t="s">
        <v>32</v>
      </c>
      <c r="D51" s="9">
        <f>D49</f>
        <v>107</v>
      </c>
      <c r="E51" s="9"/>
      <c r="F51" s="17" t="s">
        <v>147</v>
      </c>
    </row>
    <row r="52" spans="1:6" x14ac:dyDescent="0.25">
      <c r="A52" s="11"/>
      <c r="B52" s="11" t="s">
        <v>57</v>
      </c>
      <c r="C52" s="11" t="s">
        <v>32</v>
      </c>
      <c r="D52" s="11">
        <f>D51</f>
        <v>107</v>
      </c>
      <c r="E52" s="11"/>
      <c r="F52" s="8"/>
    </row>
    <row r="53" spans="1:6" x14ac:dyDescent="0.25">
      <c r="A53" s="9"/>
      <c r="B53" s="9" t="s">
        <v>58</v>
      </c>
      <c r="C53" s="9" t="s">
        <v>59</v>
      </c>
      <c r="D53" s="9">
        <v>12</v>
      </c>
      <c r="E53" s="9"/>
      <c r="F53" s="8"/>
    </row>
    <row r="54" spans="1:6" ht="31.5" x14ac:dyDescent="0.25">
      <c r="A54" s="11"/>
      <c r="B54" s="11" t="s">
        <v>60</v>
      </c>
      <c r="C54" s="11" t="s">
        <v>59</v>
      </c>
      <c r="D54" s="11">
        <f>D53</f>
        <v>12</v>
      </c>
      <c r="E54" s="11"/>
      <c r="F54" s="8"/>
    </row>
    <row r="55" spans="1:6" x14ac:dyDescent="0.25">
      <c r="A55" s="9"/>
      <c r="B55" s="9" t="s">
        <v>61</v>
      </c>
      <c r="C55" s="9" t="s">
        <v>59</v>
      </c>
      <c r="D55" s="9">
        <f>ROUNDUP(D43/100,0)</f>
        <v>8</v>
      </c>
      <c r="E55" s="9"/>
      <c r="F55" s="8"/>
    </row>
    <row r="56" spans="1:6" ht="31.5" x14ac:dyDescent="0.25">
      <c r="A56" s="11"/>
      <c r="B56" s="11" t="s">
        <v>62</v>
      </c>
      <c r="C56" s="11"/>
      <c r="D56" s="11">
        <f>D55</f>
        <v>8</v>
      </c>
      <c r="E56" s="11"/>
      <c r="F56" s="8"/>
    </row>
    <row r="57" spans="1:6" x14ac:dyDescent="0.25">
      <c r="A57" s="24" t="s">
        <v>112</v>
      </c>
      <c r="B57" s="24"/>
      <c r="C57" s="24"/>
      <c r="D57" s="24"/>
      <c r="E57" s="24"/>
      <c r="F57" s="8" t="s">
        <v>100</v>
      </c>
    </row>
    <row r="58" spans="1:6" ht="31.5" x14ac:dyDescent="0.25">
      <c r="A58" s="9"/>
      <c r="B58" s="9" t="s">
        <v>31</v>
      </c>
      <c r="C58" s="9" t="s">
        <v>32</v>
      </c>
      <c r="D58" s="9">
        <f>139.07+11.55+12.68+(0.15+0.18+0.25)*F58</f>
        <v>199.4261468</v>
      </c>
      <c r="E58" s="9"/>
      <c r="F58" s="8">
        <f>'ВОР Кровля'!D213+'ВОР Кровля'!D125</f>
        <v>62.286459999999998</v>
      </c>
    </row>
    <row r="59" spans="1:6" x14ac:dyDescent="0.25">
      <c r="A59" s="10"/>
      <c r="B59" s="10" t="s">
        <v>33</v>
      </c>
      <c r="C59" s="10" t="s">
        <v>32</v>
      </c>
      <c r="D59" s="10">
        <f>1.15*D58</f>
        <v>229.34006881999997</v>
      </c>
      <c r="E59" s="10"/>
      <c r="F59" s="8"/>
    </row>
    <row r="60" spans="1:6" ht="47.25" x14ac:dyDescent="0.25">
      <c r="A60" s="9"/>
      <c r="B60" s="9" t="s">
        <v>34</v>
      </c>
      <c r="C60" s="9" t="s">
        <v>35</v>
      </c>
      <c r="D60" s="9">
        <f>(139.07+11.55+12.68)*0.18</f>
        <v>29.394000000000002</v>
      </c>
      <c r="E60" s="9"/>
      <c r="F60" s="8"/>
    </row>
    <row r="61" spans="1:6" ht="31.5" x14ac:dyDescent="0.25">
      <c r="A61" s="10"/>
      <c r="B61" s="10" t="s">
        <v>36</v>
      </c>
      <c r="C61" s="10" t="s">
        <v>35</v>
      </c>
      <c r="D61" s="10">
        <f>(139.07+11.55+12.68)*0.1*1.03</f>
        <v>16.819900000000004</v>
      </c>
      <c r="E61" s="10"/>
      <c r="F61" s="8"/>
    </row>
    <row r="62" spans="1:6" ht="31.5" x14ac:dyDescent="0.25">
      <c r="A62" s="10"/>
      <c r="B62" s="10" t="s">
        <v>37</v>
      </c>
      <c r="C62" s="10" t="s">
        <v>35</v>
      </c>
      <c r="D62" s="10">
        <f>(139.07+11.55+12.68)*0.08*1.03</f>
        <v>13.455920000000003</v>
      </c>
      <c r="E62" s="10"/>
      <c r="F62" s="8"/>
    </row>
    <row r="63" spans="1:6" ht="47.25" x14ac:dyDescent="0.25">
      <c r="A63" s="9"/>
      <c r="B63" s="9" t="s">
        <v>38</v>
      </c>
      <c r="C63" s="9" t="s">
        <v>32</v>
      </c>
      <c r="D63" s="9">
        <f>139.07+11.55+12.68</f>
        <v>163.30000000000001</v>
      </c>
      <c r="E63" s="9"/>
      <c r="F63" s="8"/>
    </row>
    <row r="64" spans="1:6" ht="31.5" x14ac:dyDescent="0.25">
      <c r="A64" s="10"/>
      <c r="B64" s="10" t="s">
        <v>39</v>
      </c>
      <c r="C64" s="10" t="s">
        <v>35</v>
      </c>
      <c r="D64" s="10">
        <f>D63*0.14*1.03</f>
        <v>23.547860000000007</v>
      </c>
      <c r="E64" s="10"/>
      <c r="F64" s="8"/>
    </row>
    <row r="65" spans="1:6" ht="31.5" x14ac:dyDescent="0.25">
      <c r="A65" s="9"/>
      <c r="B65" s="9" t="s">
        <v>40</v>
      </c>
      <c r="C65" s="9" t="s">
        <v>32</v>
      </c>
      <c r="D65" s="9">
        <f>D63</f>
        <v>163.30000000000001</v>
      </c>
      <c r="E65" s="9"/>
      <c r="F65" s="8"/>
    </row>
    <row r="66" spans="1:6" x14ac:dyDescent="0.25">
      <c r="A66" s="10"/>
      <c r="B66" s="10" t="s">
        <v>41</v>
      </c>
      <c r="C66" s="10" t="s">
        <v>35</v>
      </c>
      <c r="D66" s="10">
        <f>D65*0.05</f>
        <v>8.1650000000000009</v>
      </c>
      <c r="E66" s="10"/>
      <c r="F66" s="8"/>
    </row>
    <row r="67" spans="1:6" x14ac:dyDescent="0.25">
      <c r="A67" s="10"/>
      <c r="B67" s="10" t="s">
        <v>42</v>
      </c>
      <c r="C67" s="10" t="s">
        <v>43</v>
      </c>
      <c r="D67" s="10">
        <f>3.17*D65</f>
        <v>517.66100000000006</v>
      </c>
      <c r="E67" s="10"/>
      <c r="F67" s="8"/>
    </row>
    <row r="68" spans="1:6" x14ac:dyDescent="0.25">
      <c r="A68" s="9"/>
      <c r="B68" s="9" t="s">
        <v>44</v>
      </c>
      <c r="C68" s="9" t="s">
        <v>32</v>
      </c>
      <c r="D68" s="9">
        <f>D65</f>
        <v>163.30000000000001</v>
      </c>
      <c r="E68" s="9"/>
      <c r="F68" s="8"/>
    </row>
    <row r="69" spans="1:6" x14ac:dyDescent="0.25">
      <c r="A69" s="11"/>
      <c r="B69" s="11" t="s">
        <v>45</v>
      </c>
      <c r="C69" s="11" t="s">
        <v>43</v>
      </c>
      <c r="D69" s="11">
        <f>0.25*D68</f>
        <v>40.825000000000003</v>
      </c>
      <c r="E69" s="11" t="s">
        <v>46</v>
      </c>
      <c r="F69" s="8"/>
    </row>
    <row r="70" spans="1:6" ht="31.5" x14ac:dyDescent="0.25">
      <c r="A70" s="9"/>
      <c r="B70" s="9" t="s">
        <v>47</v>
      </c>
      <c r="C70" s="9" t="s">
        <v>32</v>
      </c>
      <c r="D70" s="9">
        <f>D68</f>
        <v>163.30000000000001</v>
      </c>
      <c r="E70" s="9"/>
      <c r="F70" s="8"/>
    </row>
    <row r="71" spans="1:6" x14ac:dyDescent="0.25">
      <c r="A71" s="11"/>
      <c r="B71" s="11" t="s">
        <v>48</v>
      </c>
      <c r="C71" s="11" t="s">
        <v>32</v>
      </c>
      <c r="D71" s="11">
        <f>D70*2.3</f>
        <v>375.59</v>
      </c>
      <c r="E71" s="11"/>
      <c r="F71" s="8"/>
    </row>
    <row r="72" spans="1:6" ht="31.5" x14ac:dyDescent="0.25">
      <c r="A72" s="9"/>
      <c r="B72" s="9" t="s">
        <v>49</v>
      </c>
      <c r="C72" s="9" t="s">
        <v>32</v>
      </c>
      <c r="D72" s="9">
        <f>D70</f>
        <v>163.30000000000001</v>
      </c>
      <c r="E72" s="9"/>
      <c r="F72" s="8"/>
    </row>
    <row r="73" spans="1:6" x14ac:dyDescent="0.25">
      <c r="A73" s="11"/>
      <c r="B73" s="11" t="s">
        <v>50</v>
      </c>
      <c r="C73" s="11" t="s">
        <v>32</v>
      </c>
      <c r="D73" s="11">
        <f>D72*1.09</f>
        <v>177.99700000000001</v>
      </c>
      <c r="E73" s="11"/>
      <c r="F73" s="8"/>
    </row>
    <row r="74" spans="1:6" ht="31.5" x14ac:dyDescent="0.25">
      <c r="A74" s="9"/>
      <c r="B74" s="9" t="s">
        <v>51</v>
      </c>
      <c r="C74" s="9" t="s">
        <v>32</v>
      </c>
      <c r="D74" s="9">
        <f>D72</f>
        <v>163.30000000000001</v>
      </c>
      <c r="E74" s="9"/>
      <c r="F74" s="8"/>
    </row>
    <row r="75" spans="1:6" x14ac:dyDescent="0.25">
      <c r="A75" s="11"/>
      <c r="B75" s="11" t="s">
        <v>52</v>
      </c>
      <c r="C75" s="11" t="s">
        <v>35</v>
      </c>
      <c r="D75" s="11">
        <f>D74*0.04</f>
        <v>6.5320000000000009</v>
      </c>
      <c r="E75" s="11" t="s">
        <v>53</v>
      </c>
      <c r="F75" s="8"/>
    </row>
    <row r="76" spans="1:6" ht="31.5" x14ac:dyDescent="0.25">
      <c r="A76" s="9"/>
      <c r="B76" s="9" t="s">
        <v>54</v>
      </c>
      <c r="C76" s="9" t="s">
        <v>32</v>
      </c>
      <c r="D76" s="9">
        <f>D74</f>
        <v>163.30000000000001</v>
      </c>
      <c r="E76" s="9"/>
      <c r="F76" s="8"/>
    </row>
    <row r="77" spans="1:6" x14ac:dyDescent="0.25">
      <c r="A77" s="11"/>
      <c r="B77" s="11" t="s">
        <v>55</v>
      </c>
      <c r="C77" s="11" t="s">
        <v>35</v>
      </c>
      <c r="D77" s="11">
        <f>D76*0.02</f>
        <v>3.2660000000000005</v>
      </c>
      <c r="E77" s="11" t="s">
        <v>53</v>
      </c>
      <c r="F77" s="8"/>
    </row>
    <row r="78" spans="1:6" ht="31.5" x14ac:dyDescent="0.25">
      <c r="A78" s="9"/>
      <c r="B78" s="9" t="s">
        <v>56</v>
      </c>
      <c r="C78" s="9" t="s">
        <v>32</v>
      </c>
      <c r="D78" s="9">
        <f>D76</f>
        <v>163.30000000000001</v>
      </c>
      <c r="E78" s="9"/>
      <c r="F78" s="8"/>
    </row>
    <row r="79" spans="1:6" x14ac:dyDescent="0.25">
      <c r="A79" s="11"/>
      <c r="B79" s="11" t="s">
        <v>57</v>
      </c>
      <c r="C79" s="11" t="s">
        <v>32</v>
      </c>
      <c r="D79" s="11">
        <f>D78</f>
        <v>163.30000000000001</v>
      </c>
      <c r="E79" s="11"/>
      <c r="F79" s="8"/>
    </row>
    <row r="80" spans="1:6" x14ac:dyDescent="0.25">
      <c r="A80" s="9"/>
      <c r="B80" s="9" t="s">
        <v>61</v>
      </c>
      <c r="C80" s="9" t="s">
        <v>59</v>
      </c>
      <c r="D80" s="9">
        <f>ROUNDUP(D70/100,0)</f>
        <v>2</v>
      </c>
      <c r="E80" s="9"/>
      <c r="F80" s="8"/>
    </row>
    <row r="81" spans="1:6" ht="31.5" x14ac:dyDescent="0.25">
      <c r="A81" s="11"/>
      <c r="B81" s="11" t="s">
        <v>62</v>
      </c>
      <c r="C81" s="11"/>
      <c r="D81" s="11">
        <f>D80</f>
        <v>2</v>
      </c>
      <c r="E81" s="11"/>
      <c r="F81" s="8"/>
    </row>
    <row r="82" spans="1:6" x14ac:dyDescent="0.25">
      <c r="A82" s="9"/>
      <c r="B82" s="9" t="s">
        <v>101</v>
      </c>
      <c r="C82" s="9" t="s">
        <v>64</v>
      </c>
      <c r="D82" s="9">
        <f>3.9+3.26+5.614+1.31</f>
        <v>14.084000000000001</v>
      </c>
      <c r="E82" s="9"/>
      <c r="F82" s="8"/>
    </row>
    <row r="83" spans="1:6" ht="31.5" x14ac:dyDescent="0.25">
      <c r="A83" s="11"/>
      <c r="B83" s="11" t="s">
        <v>102</v>
      </c>
      <c r="C83" s="11" t="s">
        <v>59</v>
      </c>
      <c r="D83" s="11">
        <f>ROUNDUP(D82/3,0)</f>
        <v>5</v>
      </c>
      <c r="E83" s="11"/>
      <c r="F83" s="8"/>
    </row>
    <row r="84" spans="1:6" ht="31.5" x14ac:dyDescent="0.25">
      <c r="A84" s="11"/>
      <c r="B84" s="11" t="s">
        <v>103</v>
      </c>
      <c r="C84" s="11" t="s">
        <v>59</v>
      </c>
      <c r="D84" s="11">
        <f>ROUNDUP(D82/0.5,0)</f>
        <v>29</v>
      </c>
      <c r="E84" s="11"/>
      <c r="F84" s="8"/>
    </row>
    <row r="85" spans="1:6" ht="31.5" x14ac:dyDescent="0.25">
      <c r="A85" s="11"/>
      <c r="B85" s="11" t="s">
        <v>104</v>
      </c>
      <c r="C85" s="11" t="s">
        <v>59</v>
      </c>
      <c r="D85" s="11">
        <v>4</v>
      </c>
      <c r="E85" s="11"/>
      <c r="F85" s="8"/>
    </row>
    <row r="86" spans="1:6" x14ac:dyDescent="0.25">
      <c r="A86" s="9"/>
      <c r="B86" s="9" t="s">
        <v>105</v>
      </c>
      <c r="C86" s="9" t="s">
        <v>59</v>
      </c>
      <c r="D86" s="9">
        <v>1</v>
      </c>
      <c r="E86" s="9"/>
      <c r="F86" s="8"/>
    </row>
    <row r="87" spans="1:6" ht="31.5" x14ac:dyDescent="0.25">
      <c r="A87" s="11"/>
      <c r="B87" s="11" t="s">
        <v>106</v>
      </c>
      <c r="C87" s="11" t="s">
        <v>59</v>
      </c>
      <c r="D87" s="11">
        <v>1</v>
      </c>
      <c r="E87" s="11"/>
      <c r="F87" s="8"/>
    </row>
    <row r="88" spans="1:6" x14ac:dyDescent="0.25">
      <c r="A88" s="9"/>
      <c r="B88" s="9" t="s">
        <v>107</v>
      </c>
      <c r="C88" s="9" t="s">
        <v>64</v>
      </c>
      <c r="D88" s="9">
        <v>3</v>
      </c>
      <c r="E88" s="9"/>
      <c r="F88" s="8"/>
    </row>
    <row r="89" spans="1:6" ht="31.5" x14ac:dyDescent="0.25">
      <c r="A89" s="11"/>
      <c r="B89" s="11" t="s">
        <v>108</v>
      </c>
      <c r="C89" s="11" t="s">
        <v>59</v>
      </c>
      <c r="D89" s="11">
        <v>1</v>
      </c>
      <c r="E89" s="11"/>
      <c r="F89" s="8"/>
    </row>
    <row r="90" spans="1:6" ht="31.5" x14ac:dyDescent="0.25">
      <c r="A90" s="11"/>
      <c r="B90" s="11" t="s">
        <v>109</v>
      </c>
      <c r="C90" s="11" t="s">
        <v>59</v>
      </c>
      <c r="D90" s="11">
        <v>1</v>
      </c>
      <c r="E90" s="11"/>
      <c r="F90" s="8"/>
    </row>
    <row r="91" spans="1:6" x14ac:dyDescent="0.25">
      <c r="A91" s="30" t="s">
        <v>134</v>
      </c>
      <c r="B91" s="31"/>
      <c r="C91" s="31"/>
      <c r="D91" s="31"/>
      <c r="E91" s="32"/>
      <c r="F91" s="12" t="s">
        <v>110</v>
      </c>
    </row>
    <row r="92" spans="1:6" ht="31.5" x14ac:dyDescent="0.25">
      <c r="A92" s="9"/>
      <c r="B92" s="9" t="s">
        <v>31</v>
      </c>
      <c r="C92" s="9" t="s">
        <v>32</v>
      </c>
      <c r="D92" s="9">
        <f>161.63+169.43+18.58+135.78+(0.15+0.18+0.25)*F92</f>
        <v>679.68056000000001</v>
      </c>
      <c r="E92" s="9"/>
      <c r="F92" s="8">
        <f>'ВОР Ме каркас, ограждения'!D27+'ВОР Ме каркас, ограждения'!D38+'ВОР Кровля'!D157+'ВОР Кровля'!D176</f>
        <v>334.93200000000002</v>
      </c>
    </row>
    <row r="93" spans="1:6" x14ac:dyDescent="0.25">
      <c r="A93" s="10"/>
      <c r="B93" s="10" t="s">
        <v>33</v>
      </c>
      <c r="C93" s="10" t="s">
        <v>32</v>
      </c>
      <c r="D93" s="10">
        <f>1.15*D92</f>
        <v>781.63264399999991</v>
      </c>
      <c r="E93" s="10"/>
      <c r="F93" s="8"/>
    </row>
    <row r="94" spans="1:6" ht="47.25" x14ac:dyDescent="0.25">
      <c r="A94" s="9"/>
      <c r="B94" s="9" t="s">
        <v>34</v>
      </c>
      <c r="C94" s="9" t="s">
        <v>35</v>
      </c>
      <c r="D94" s="9">
        <f>(161.63+169.43+18.58+135.78)*0.18</f>
        <v>87.375599999999991</v>
      </c>
      <c r="E94" s="9"/>
      <c r="F94" s="8"/>
    </row>
    <row r="95" spans="1:6" ht="31.5" x14ac:dyDescent="0.25">
      <c r="A95" s="10"/>
      <c r="B95" s="10" t="s">
        <v>36</v>
      </c>
      <c r="C95" s="10" t="s">
        <v>35</v>
      </c>
      <c r="D95" s="10">
        <f>(161.63+169.43+18.58+135.78)*0.1*1.03</f>
        <v>49.998260000000002</v>
      </c>
      <c r="E95" s="10"/>
      <c r="F95" s="8"/>
    </row>
    <row r="96" spans="1:6" ht="31.5" x14ac:dyDescent="0.25">
      <c r="A96" s="10"/>
      <c r="B96" s="10" t="s">
        <v>37</v>
      </c>
      <c r="C96" s="10" t="s">
        <v>35</v>
      </c>
      <c r="D96" s="10">
        <f>(161.63+169.43+18.58+135.78)*0.08*1.03</f>
        <v>39.998607999999997</v>
      </c>
      <c r="E96" s="10"/>
      <c r="F96" s="8"/>
    </row>
    <row r="97" spans="1:6" ht="47.25" x14ac:dyDescent="0.25">
      <c r="A97" s="9"/>
      <c r="B97" s="9" t="s">
        <v>38</v>
      </c>
      <c r="C97" s="9" t="s">
        <v>32</v>
      </c>
      <c r="D97" s="9">
        <f>161.63+169.43+18.58+135.78</f>
        <v>485.41999999999996</v>
      </c>
      <c r="E97" s="9"/>
      <c r="F97" s="8"/>
    </row>
    <row r="98" spans="1:6" ht="31.5" x14ac:dyDescent="0.25">
      <c r="A98" s="10"/>
      <c r="B98" s="10" t="s">
        <v>39</v>
      </c>
      <c r="C98" s="10" t="s">
        <v>35</v>
      </c>
      <c r="D98" s="10">
        <f>D97*0.14*1.03</f>
        <v>69.997563999999997</v>
      </c>
      <c r="E98" s="10"/>
      <c r="F98" s="8"/>
    </row>
    <row r="99" spans="1:6" ht="47.25" x14ac:dyDescent="0.25">
      <c r="A99" s="9"/>
      <c r="B99" s="9" t="s">
        <v>94</v>
      </c>
      <c r="C99" s="9" t="s">
        <v>32</v>
      </c>
      <c r="D99" s="9">
        <f>D97</f>
        <v>485.41999999999996</v>
      </c>
      <c r="E99" s="9"/>
      <c r="F99" s="8"/>
    </row>
    <row r="100" spans="1:6" ht="31.5" x14ac:dyDescent="0.25">
      <c r="A100" s="9"/>
      <c r="B100" s="9" t="s">
        <v>95</v>
      </c>
      <c r="C100" s="9" t="s">
        <v>32</v>
      </c>
      <c r="D100" s="9">
        <f>D99</f>
        <v>485.41999999999996</v>
      </c>
      <c r="E100" s="9"/>
      <c r="F100" s="8"/>
    </row>
    <row r="101" spans="1:6" x14ac:dyDescent="0.25">
      <c r="A101" s="11"/>
      <c r="B101" s="11" t="s">
        <v>45</v>
      </c>
      <c r="C101" s="11" t="s">
        <v>43</v>
      </c>
      <c r="D101" s="11">
        <f>0.25*D100</f>
        <v>121.35499999999999</v>
      </c>
      <c r="E101" s="11" t="s">
        <v>46</v>
      </c>
      <c r="F101" s="8"/>
    </row>
    <row r="102" spans="1:6" ht="31.5" x14ac:dyDescent="0.25">
      <c r="A102" s="9"/>
      <c r="B102" s="9" t="s">
        <v>96</v>
      </c>
      <c r="C102" s="9" t="s">
        <v>32</v>
      </c>
      <c r="D102" s="9">
        <f>D100</f>
        <v>485.41999999999996</v>
      </c>
      <c r="E102" s="9"/>
      <c r="F102" s="8"/>
    </row>
    <row r="103" spans="1:6" x14ac:dyDescent="0.25">
      <c r="A103" s="11"/>
      <c r="B103" s="11" t="s">
        <v>97</v>
      </c>
      <c r="C103" s="11" t="s">
        <v>32</v>
      </c>
      <c r="D103" s="11">
        <f>1.15*D102</f>
        <v>558.23299999999995</v>
      </c>
      <c r="E103" s="11"/>
      <c r="F103" s="8"/>
    </row>
    <row r="104" spans="1:6" x14ac:dyDescent="0.25">
      <c r="A104" s="11"/>
      <c r="B104" s="11" t="s">
        <v>65</v>
      </c>
      <c r="C104" s="11" t="s">
        <v>32</v>
      </c>
      <c r="D104" s="11">
        <f>D102*1.15</f>
        <v>558.23299999999995</v>
      </c>
      <c r="E104" s="11"/>
      <c r="F104" s="8"/>
    </row>
    <row r="105" spans="1:6" x14ac:dyDescent="0.25">
      <c r="A105" s="9"/>
      <c r="B105" s="9" t="s">
        <v>58</v>
      </c>
      <c r="C105" s="9" t="s">
        <v>59</v>
      </c>
      <c r="D105" s="9">
        <v>8</v>
      </c>
      <c r="E105" s="9"/>
      <c r="F105" s="8"/>
    </row>
    <row r="106" spans="1:6" ht="31.5" x14ac:dyDescent="0.25">
      <c r="A106" s="11"/>
      <c r="B106" s="11" t="s">
        <v>60</v>
      </c>
      <c r="C106" s="11" t="s">
        <v>59</v>
      </c>
      <c r="D106" s="11">
        <f>D105</f>
        <v>8</v>
      </c>
      <c r="E106" s="11"/>
      <c r="F106" s="8"/>
    </row>
    <row r="107" spans="1:6" x14ac:dyDescent="0.25">
      <c r="A107" s="9"/>
      <c r="B107" s="9" t="s">
        <v>61</v>
      </c>
      <c r="C107" s="9" t="s">
        <v>59</v>
      </c>
      <c r="D107" s="9">
        <f>ROUNDUP((161.63+169.43+18.58)/100,0)+ROUNDUP(135.78/100,0)</f>
        <v>6</v>
      </c>
      <c r="E107" s="9"/>
      <c r="F107" s="8"/>
    </row>
    <row r="108" spans="1:6" ht="31.5" x14ac:dyDescent="0.25">
      <c r="A108" s="11"/>
      <c r="B108" s="11" t="s">
        <v>62</v>
      </c>
      <c r="C108" s="11"/>
      <c r="D108" s="11">
        <f>D107</f>
        <v>6</v>
      </c>
      <c r="E108" s="11"/>
      <c r="F108" s="8"/>
    </row>
    <row r="109" spans="1:6" x14ac:dyDescent="0.25">
      <c r="A109" s="24" t="s">
        <v>135</v>
      </c>
      <c r="B109" s="24"/>
      <c r="C109" s="24"/>
      <c r="D109" s="24"/>
      <c r="E109" s="24"/>
      <c r="F109" s="8"/>
    </row>
    <row r="110" spans="1:6" x14ac:dyDescent="0.25">
      <c r="A110" s="9"/>
      <c r="B110" s="9" t="s">
        <v>80</v>
      </c>
      <c r="C110" s="9" t="s">
        <v>32</v>
      </c>
      <c r="D110" s="9">
        <f>((7.745+4.8)*2+4.65+6.5525+2.56197+2.95292+4.46447)*0.94</f>
        <v>43.495548400000004</v>
      </c>
      <c r="E110" s="9"/>
      <c r="F110" s="8"/>
    </row>
    <row r="111" spans="1:6" x14ac:dyDescent="0.25">
      <c r="A111" s="11"/>
      <c r="B111" s="11" t="s">
        <v>81</v>
      </c>
      <c r="C111" s="11" t="s">
        <v>32</v>
      </c>
      <c r="D111" s="11">
        <f>D110</f>
        <v>43.495548400000004</v>
      </c>
      <c r="E111" s="11"/>
      <c r="F111" s="8"/>
    </row>
    <row r="112" spans="1:6" ht="63" x14ac:dyDescent="0.25">
      <c r="A112" s="9"/>
      <c r="B112" s="9" t="s">
        <v>63</v>
      </c>
      <c r="C112" s="9" t="s">
        <v>64</v>
      </c>
      <c r="D112" s="9">
        <f>(7.745+4.8)*2+4.65+6.5525+2.56197+2.95292+4.46447</f>
        <v>46.271860000000004</v>
      </c>
      <c r="E112" s="9"/>
      <c r="F112" s="8"/>
    </row>
    <row r="113" spans="1:6" x14ac:dyDescent="0.25">
      <c r="A113" s="11"/>
      <c r="B113" s="11" t="s">
        <v>65</v>
      </c>
      <c r="C113" s="11" t="s">
        <v>32</v>
      </c>
      <c r="D113" s="11">
        <f>D112*0.7*1.15</f>
        <v>37.248847299999994</v>
      </c>
      <c r="E113" s="11"/>
      <c r="F113" s="8">
        <f>35+12.73+37.3+12.73+111.24+152.16+42.54+12.73+98.36+12.73+175</f>
        <v>702.52</v>
      </c>
    </row>
    <row r="114" spans="1:6" x14ac:dyDescent="0.25">
      <c r="A114" s="11"/>
      <c r="B114" s="11" t="s">
        <v>66</v>
      </c>
      <c r="C114" s="11" t="s">
        <v>32</v>
      </c>
      <c r="D114" s="11">
        <f>D112*0.81*1.15</f>
        <v>43.102237590000001</v>
      </c>
      <c r="E114" s="11"/>
      <c r="F114" s="8">
        <f>(100+179.8+50)+(37.56+12.73+99.71+172.35+46.27+12.73+98.36)</f>
        <v>809.51</v>
      </c>
    </row>
    <row r="115" spans="1:6" x14ac:dyDescent="0.25">
      <c r="A115" s="11"/>
      <c r="B115" s="11" t="s">
        <v>67</v>
      </c>
      <c r="C115" s="11" t="s">
        <v>43</v>
      </c>
      <c r="D115" s="11">
        <f>0.25*D112*'Примыкание к парапету'!E10</f>
        <v>10.873887100000001</v>
      </c>
      <c r="E115" s="11"/>
      <c r="F115" s="8"/>
    </row>
    <row r="116" spans="1:6" ht="31.5" x14ac:dyDescent="0.25">
      <c r="A116" s="11"/>
      <c r="B116" s="11" t="s">
        <v>68</v>
      </c>
      <c r="C116" s="11" t="s">
        <v>64</v>
      </c>
      <c r="D116" s="11">
        <f>D112</f>
        <v>46.271860000000004</v>
      </c>
      <c r="E116" s="11"/>
      <c r="F116" s="8"/>
    </row>
    <row r="117" spans="1:6" x14ac:dyDescent="0.25">
      <c r="A117" s="11"/>
      <c r="B117" s="11" t="s">
        <v>69</v>
      </c>
      <c r="C117" s="11" t="s">
        <v>59</v>
      </c>
      <c r="D117" s="11">
        <f>ROUNDUP(D116/0.5,0)</f>
        <v>93</v>
      </c>
      <c r="E117" s="11"/>
      <c r="F117" s="8"/>
    </row>
    <row r="118" spans="1:6" x14ac:dyDescent="0.25">
      <c r="A118" s="11"/>
      <c r="B118" s="11" t="s">
        <v>122</v>
      </c>
      <c r="C118" s="11" t="s">
        <v>59</v>
      </c>
      <c r="D118" s="11">
        <f>ROUNDUP(D116/1.2,0)</f>
        <v>39</v>
      </c>
      <c r="E118" s="11"/>
      <c r="F118" s="8"/>
    </row>
    <row r="119" spans="1:6" x14ac:dyDescent="0.25">
      <c r="A119" s="11"/>
      <c r="B119" s="11" t="s">
        <v>71</v>
      </c>
      <c r="C119" s="11" t="s">
        <v>32</v>
      </c>
      <c r="D119" s="11">
        <f>D112*0.25</f>
        <v>11.567965000000001</v>
      </c>
      <c r="E119" s="11"/>
      <c r="F119" s="8">
        <f>80.92+55+55+55+5.94+20</f>
        <v>271.86</v>
      </c>
    </row>
    <row r="120" spans="1:6" x14ac:dyDescent="0.25">
      <c r="A120" s="11"/>
      <c r="B120" s="11" t="s">
        <v>72</v>
      </c>
      <c r="C120" s="11" t="s">
        <v>59</v>
      </c>
      <c r="D120" s="11">
        <f>ROUNDUP(D112/0.3,0)</f>
        <v>155</v>
      </c>
      <c r="E120" s="11"/>
      <c r="F120" s="8"/>
    </row>
    <row r="121" spans="1:6" ht="31.5" x14ac:dyDescent="0.25">
      <c r="A121" s="11"/>
      <c r="B121" s="11" t="s">
        <v>73</v>
      </c>
      <c r="C121" s="11" t="s">
        <v>59</v>
      </c>
      <c r="D121" s="11">
        <f>ROUNDUP((D112*0.01*0.02)/0.00031,0)</f>
        <v>30</v>
      </c>
      <c r="E121" s="11"/>
      <c r="F121" s="8"/>
    </row>
    <row r="122" spans="1:6" x14ac:dyDescent="0.25">
      <c r="A122" s="24" t="s">
        <v>136</v>
      </c>
      <c r="B122" s="24"/>
      <c r="C122" s="24"/>
      <c r="D122" s="24"/>
      <c r="E122" s="24"/>
    </row>
    <row r="123" spans="1:6" x14ac:dyDescent="0.25">
      <c r="A123" s="9"/>
      <c r="B123" s="9" t="s">
        <v>80</v>
      </c>
      <c r="C123" s="9" t="s">
        <v>32</v>
      </c>
      <c r="D123" s="9">
        <f>(5.4635+4.35492+5.66804)*1.715</f>
        <v>26.559278900000002</v>
      </c>
      <c r="E123" s="9"/>
    </row>
    <row r="124" spans="1:6" x14ac:dyDescent="0.25">
      <c r="A124" s="11"/>
      <c r="B124" s="11" t="s">
        <v>81</v>
      </c>
      <c r="C124" s="11" t="s">
        <v>32</v>
      </c>
      <c r="D124" s="11">
        <f>D123</f>
        <v>26.559278900000002</v>
      </c>
      <c r="E124" s="11"/>
    </row>
    <row r="125" spans="1:6" ht="63" x14ac:dyDescent="0.25">
      <c r="A125" s="9"/>
      <c r="B125" s="9" t="s">
        <v>63</v>
      </c>
      <c r="C125" s="9" t="s">
        <v>64</v>
      </c>
      <c r="D125" s="9">
        <f>5.4635+4.35492+5.66804</f>
        <v>15.486460000000001</v>
      </c>
      <c r="E125" s="9"/>
    </row>
    <row r="126" spans="1:6" x14ac:dyDescent="0.25">
      <c r="A126" s="11"/>
      <c r="B126" s="11" t="s">
        <v>65</v>
      </c>
      <c r="C126" s="11" t="s">
        <v>32</v>
      </c>
      <c r="D126" s="11">
        <f>D125*0.7*1.15</f>
        <v>12.4666003</v>
      </c>
      <c r="E126" s="11"/>
    </row>
    <row r="127" spans="1:6" x14ac:dyDescent="0.25">
      <c r="A127" s="11"/>
      <c r="B127" s="11" t="s">
        <v>66</v>
      </c>
      <c r="C127" s="11" t="s">
        <v>32</v>
      </c>
      <c r="D127" s="11">
        <f>D125*0.81*1.15</f>
        <v>14.42563749</v>
      </c>
      <c r="E127" s="11"/>
    </row>
    <row r="128" spans="1:6" x14ac:dyDescent="0.25">
      <c r="A128" s="11"/>
      <c r="B128" s="11" t="s">
        <v>67</v>
      </c>
      <c r="C128" s="11" t="s">
        <v>43</v>
      </c>
      <c r="D128" s="11">
        <f>0.25*D125*'Примыкание к парапету'!O10</f>
        <v>6.6398197250000006</v>
      </c>
      <c r="E128" s="11"/>
    </row>
    <row r="129" spans="1:5" ht="31.5" x14ac:dyDescent="0.25">
      <c r="A129" s="11"/>
      <c r="B129" s="11" t="s">
        <v>68</v>
      </c>
      <c r="C129" s="11" t="s">
        <v>64</v>
      </c>
      <c r="D129" s="11">
        <f>D125</f>
        <v>15.486460000000001</v>
      </c>
      <c r="E129" s="11"/>
    </row>
    <row r="130" spans="1:5" x14ac:dyDescent="0.25">
      <c r="A130" s="11"/>
      <c r="B130" s="11" t="s">
        <v>69</v>
      </c>
      <c r="C130" s="11" t="s">
        <v>59</v>
      </c>
      <c r="D130" s="11">
        <f>ROUNDUP(D129/0.5,0)</f>
        <v>31</v>
      </c>
      <c r="E130" s="11"/>
    </row>
    <row r="131" spans="1:5" x14ac:dyDescent="0.25">
      <c r="A131" s="11"/>
      <c r="B131" s="11" t="s">
        <v>122</v>
      </c>
      <c r="C131" s="11" t="s">
        <v>59</v>
      </c>
      <c r="D131" s="11">
        <f>ROUNDUP(D129/1.2,0)</f>
        <v>13</v>
      </c>
      <c r="E131" s="11"/>
    </row>
    <row r="132" spans="1:5" x14ac:dyDescent="0.25">
      <c r="A132" s="11"/>
      <c r="B132" s="11" t="s">
        <v>71</v>
      </c>
      <c r="C132" s="11" t="s">
        <v>32</v>
      </c>
      <c r="D132" s="11">
        <f>D125*0.25</f>
        <v>3.8716150000000003</v>
      </c>
      <c r="E132" s="11"/>
    </row>
    <row r="133" spans="1:5" x14ac:dyDescent="0.25">
      <c r="A133" s="11"/>
      <c r="B133" s="11" t="s">
        <v>72</v>
      </c>
      <c r="C133" s="11" t="s">
        <v>59</v>
      </c>
      <c r="D133" s="11">
        <f>ROUNDUP(D125/0.3,0)</f>
        <v>52</v>
      </c>
      <c r="E133" s="11"/>
    </row>
    <row r="134" spans="1:5" ht="31.5" x14ac:dyDescent="0.25">
      <c r="A134" s="11"/>
      <c r="B134" s="11" t="s">
        <v>73</v>
      </c>
      <c r="C134" s="11" t="s">
        <v>59</v>
      </c>
      <c r="D134" s="11">
        <f>ROUNDUP((D125*0.01*0.02)/0.00031,0)</f>
        <v>10</v>
      </c>
      <c r="E134" s="11"/>
    </row>
    <row r="135" spans="1:5" x14ac:dyDescent="0.25">
      <c r="A135" s="24" t="s">
        <v>137</v>
      </c>
      <c r="B135" s="24"/>
      <c r="C135" s="24"/>
      <c r="D135" s="24"/>
      <c r="E135" s="24"/>
    </row>
    <row r="136" spans="1:5" x14ac:dyDescent="0.25">
      <c r="A136" s="9"/>
      <c r="B136" s="9" t="s">
        <v>80</v>
      </c>
      <c r="C136" s="9" t="s">
        <v>32</v>
      </c>
      <c r="D136" s="9">
        <f>D138*'Примыкание к парапету'!J10</f>
        <v>244.85039999999989</v>
      </c>
      <c r="E136" s="9"/>
    </row>
    <row r="137" spans="1:5" x14ac:dyDescent="0.25">
      <c r="A137" s="11"/>
      <c r="B137" s="11" t="s">
        <v>81</v>
      </c>
      <c r="C137" s="11" t="s">
        <v>32</v>
      </c>
      <c r="D137" s="11">
        <f>D136</f>
        <v>244.85039999999989</v>
      </c>
      <c r="E137" s="11"/>
    </row>
    <row r="138" spans="1:5" ht="63" x14ac:dyDescent="0.25">
      <c r="A138" s="9"/>
      <c r="B138" s="9" t="s">
        <v>82</v>
      </c>
      <c r="C138" s="9" t="s">
        <v>64</v>
      </c>
      <c r="D138" s="9">
        <f>'Примыкание к парапету'!J4*1.2</f>
        <v>131.63999999999999</v>
      </c>
      <c r="E138" s="9"/>
    </row>
    <row r="139" spans="1:5" x14ac:dyDescent="0.25">
      <c r="A139" s="11"/>
      <c r="B139" s="11" t="s">
        <v>65</v>
      </c>
      <c r="C139" s="11" t="s">
        <v>32</v>
      </c>
      <c r="D139" s="11">
        <f>(0.37+0.15+1.43+0.15+0.14+0.1)*D138*1.15</f>
        <v>354.24323999999996</v>
      </c>
      <c r="E139" s="11"/>
    </row>
    <row r="140" spans="1:5" x14ac:dyDescent="0.25">
      <c r="A140" s="11"/>
      <c r="B140" s="11" t="s">
        <v>66</v>
      </c>
      <c r="C140" s="11" t="s">
        <v>32</v>
      </c>
      <c r="D140" s="11">
        <f>0.3*D138+(0.24+0.15+1.43+0.15+0.14+0.1)*D138*1.15</f>
        <v>374.05505999999997</v>
      </c>
      <c r="E140" s="11"/>
    </row>
    <row r="141" spans="1:5" x14ac:dyDescent="0.25">
      <c r="A141" s="11"/>
      <c r="B141" s="11" t="s">
        <v>67</v>
      </c>
      <c r="C141" s="11" t="s">
        <v>43</v>
      </c>
      <c r="D141" s="11">
        <f>0.25*D138*'Примыкание к парапету'!J10</f>
        <v>61.212599999999973</v>
      </c>
      <c r="E141" s="11" t="s">
        <v>46</v>
      </c>
    </row>
    <row r="142" spans="1:5" ht="31.5" x14ac:dyDescent="0.25">
      <c r="A142" s="11"/>
      <c r="B142" s="11" t="s">
        <v>68</v>
      </c>
      <c r="C142" s="11" t="s">
        <v>64</v>
      </c>
      <c r="D142" s="11">
        <f>D138</f>
        <v>131.63999999999999</v>
      </c>
      <c r="E142" s="11"/>
    </row>
    <row r="143" spans="1:5" x14ac:dyDescent="0.25">
      <c r="A143" s="11"/>
      <c r="B143" s="11" t="s">
        <v>69</v>
      </c>
      <c r="C143" s="11" t="s">
        <v>59</v>
      </c>
      <c r="D143" s="11">
        <f>ROUNDUP(D142/0.5,0)</f>
        <v>264</v>
      </c>
      <c r="E143" s="11"/>
    </row>
    <row r="144" spans="1:5" x14ac:dyDescent="0.25">
      <c r="A144" s="11"/>
      <c r="B144" s="11" t="s">
        <v>99</v>
      </c>
      <c r="C144" s="11" t="s">
        <v>59</v>
      </c>
      <c r="D144" s="11">
        <f>ROUNDUP(D142/1.2,0)</f>
        <v>110</v>
      </c>
      <c r="E144" s="11"/>
    </row>
    <row r="145" spans="1:6" ht="31.5" x14ac:dyDescent="0.25">
      <c r="A145" s="9"/>
      <c r="B145" s="9" t="s">
        <v>86</v>
      </c>
      <c r="C145" s="9" t="s">
        <v>74</v>
      </c>
      <c r="D145" s="9">
        <f>0.65*0.05*0.004*7850*ROUNDUP(D138/0.5,0)/1000</f>
        <v>0.26941200000000004</v>
      </c>
      <c r="E145" s="9"/>
    </row>
    <row r="146" spans="1:6" x14ac:dyDescent="0.25">
      <c r="A146" s="11"/>
      <c r="B146" s="11" t="s">
        <v>87</v>
      </c>
      <c r="C146" s="11" t="s">
        <v>59</v>
      </c>
      <c r="D146" s="11">
        <f>ROUNDUP(D138/0.5,0)</f>
        <v>264</v>
      </c>
      <c r="E146" s="11"/>
    </row>
    <row r="147" spans="1:6" x14ac:dyDescent="0.25">
      <c r="A147" s="11"/>
      <c r="B147" s="11" t="s">
        <v>72</v>
      </c>
      <c r="C147" s="11" t="s">
        <v>59</v>
      </c>
      <c r="D147" s="11">
        <f>D146*2</f>
        <v>528</v>
      </c>
      <c r="E147" s="11"/>
    </row>
    <row r="148" spans="1:6" ht="31.5" x14ac:dyDescent="0.25">
      <c r="A148" s="9"/>
      <c r="B148" s="9" t="s">
        <v>88</v>
      </c>
      <c r="C148" s="9" t="s">
        <v>32</v>
      </c>
      <c r="D148" s="9">
        <f>0.8*D138</f>
        <v>105.312</v>
      </c>
      <c r="E148" s="9"/>
    </row>
    <row r="149" spans="1:6" ht="31.5" x14ac:dyDescent="0.25">
      <c r="A149" s="11"/>
      <c r="B149" s="11" t="s">
        <v>89</v>
      </c>
      <c r="C149" s="11" t="s">
        <v>32</v>
      </c>
      <c r="D149" s="11">
        <f>D148</f>
        <v>105.312</v>
      </c>
      <c r="E149" s="11"/>
    </row>
    <row r="150" spans="1:6" ht="47.25" x14ac:dyDescent="0.25">
      <c r="A150" s="9"/>
      <c r="B150" s="9" t="s">
        <v>90</v>
      </c>
      <c r="C150" s="9" t="s">
        <v>32</v>
      </c>
      <c r="D150" s="9">
        <f>(0.1+1.2+0.02*2)*D138</f>
        <v>176.39759999999998</v>
      </c>
      <c r="E150" s="9"/>
    </row>
    <row r="151" spans="1:6" ht="47.25" x14ac:dyDescent="0.25">
      <c r="A151" s="11"/>
      <c r="B151" s="11" t="s">
        <v>91</v>
      </c>
      <c r="C151" s="11" t="s">
        <v>32</v>
      </c>
      <c r="D151" s="11">
        <f>D150</f>
        <v>176.39759999999998</v>
      </c>
      <c r="E151" s="11"/>
    </row>
    <row r="152" spans="1:6" x14ac:dyDescent="0.25">
      <c r="A152" s="9"/>
      <c r="B152" s="9" t="s">
        <v>92</v>
      </c>
      <c r="C152" s="9" t="s">
        <v>35</v>
      </c>
      <c r="D152" s="9">
        <f>0.14*0.11*D138</f>
        <v>2.0272559999999999</v>
      </c>
      <c r="E152" s="9"/>
    </row>
    <row r="153" spans="1:6" x14ac:dyDescent="0.25">
      <c r="A153" s="11"/>
      <c r="B153" s="11" t="s">
        <v>124</v>
      </c>
      <c r="C153" s="11" t="s">
        <v>35</v>
      </c>
      <c r="D153" s="11">
        <f>D152*1.03</f>
        <v>2.0880736799999999</v>
      </c>
      <c r="E153" s="11"/>
      <c r="F153" s="13" t="s">
        <v>125</v>
      </c>
    </row>
    <row r="154" spans="1:6" x14ac:dyDescent="0.25">
      <c r="A154" s="24" t="s">
        <v>138</v>
      </c>
      <c r="B154" s="24"/>
      <c r="C154" s="24"/>
      <c r="D154" s="24"/>
      <c r="E154" s="24"/>
    </row>
    <row r="155" spans="1:6" x14ac:dyDescent="0.25">
      <c r="A155" s="9"/>
      <c r="B155" s="9" t="s">
        <v>80</v>
      </c>
      <c r="C155" s="9" t="s">
        <v>32</v>
      </c>
      <c r="D155" s="9">
        <f>D157*'Примыкание к парапету'!Y10</f>
        <v>125.85599999999994</v>
      </c>
      <c r="E155" s="9"/>
    </row>
    <row r="156" spans="1:6" x14ac:dyDescent="0.25">
      <c r="A156" s="11"/>
      <c r="B156" s="11" t="s">
        <v>81</v>
      </c>
      <c r="C156" s="11" t="s">
        <v>32</v>
      </c>
      <c r="D156" s="11">
        <f>D155</f>
        <v>125.85599999999994</v>
      </c>
      <c r="E156" s="11"/>
    </row>
    <row r="157" spans="1:6" ht="63" x14ac:dyDescent="0.25">
      <c r="A157" s="9"/>
      <c r="B157" s="9" t="s">
        <v>82</v>
      </c>
      <c r="C157" s="9" t="s">
        <v>64</v>
      </c>
      <c r="D157" s="9">
        <f>'Примыкание к парапету'!Y4*1.2</f>
        <v>104.88000000000001</v>
      </c>
      <c r="E157" s="9"/>
    </row>
    <row r="158" spans="1:6" x14ac:dyDescent="0.25">
      <c r="A158" s="11"/>
      <c r="B158" s="11" t="s">
        <v>65</v>
      </c>
      <c r="C158" s="11" t="s">
        <v>32</v>
      </c>
      <c r="D158" s="11">
        <f>(0.37+0.15+1.43+0.15+0.14+0.1)*D157*1.15</f>
        <v>282.23208000000005</v>
      </c>
      <c r="E158" s="11"/>
    </row>
    <row r="159" spans="1:6" x14ac:dyDescent="0.25">
      <c r="A159" s="11"/>
      <c r="B159" s="11" t="s">
        <v>66</v>
      </c>
      <c r="C159" s="11" t="s">
        <v>32</v>
      </c>
      <c r="D159" s="11">
        <f>0.3*D157+(0.24+0.15+1.43+0.15+0.14+0.1)*D157*1.15</f>
        <v>298.01652000000001</v>
      </c>
      <c r="E159" s="11"/>
    </row>
    <row r="160" spans="1:6" x14ac:dyDescent="0.25">
      <c r="A160" s="11"/>
      <c r="B160" s="11" t="s">
        <v>67</v>
      </c>
      <c r="C160" s="11" t="s">
        <v>43</v>
      </c>
      <c r="D160" s="11">
        <f>0.25*D157*'Примыкание к парапету'!Y10</f>
        <v>31.463999999999984</v>
      </c>
      <c r="E160" s="11" t="s">
        <v>46</v>
      </c>
    </row>
    <row r="161" spans="1:6" ht="31.5" x14ac:dyDescent="0.25">
      <c r="A161" s="11"/>
      <c r="B161" s="11" t="s">
        <v>68</v>
      </c>
      <c r="C161" s="11" t="s">
        <v>64</v>
      </c>
      <c r="D161" s="11">
        <f>D157</f>
        <v>104.88000000000001</v>
      </c>
      <c r="E161" s="11"/>
    </row>
    <row r="162" spans="1:6" x14ac:dyDescent="0.25">
      <c r="A162" s="11"/>
      <c r="B162" s="11" t="s">
        <v>69</v>
      </c>
      <c r="C162" s="11" t="s">
        <v>59</v>
      </c>
      <c r="D162" s="11">
        <f>ROUNDUP(D161/0.5,0)</f>
        <v>210</v>
      </c>
      <c r="E162" s="11"/>
    </row>
    <row r="163" spans="1:6" x14ac:dyDescent="0.25">
      <c r="A163" s="11"/>
      <c r="B163" s="11" t="s">
        <v>99</v>
      </c>
      <c r="C163" s="11" t="s">
        <v>59</v>
      </c>
      <c r="D163" s="11">
        <f>ROUNDUP(D161/1.2,0)</f>
        <v>88</v>
      </c>
      <c r="E163" s="11"/>
    </row>
    <row r="164" spans="1:6" ht="31.5" x14ac:dyDescent="0.25">
      <c r="A164" s="9"/>
      <c r="B164" s="9" t="s">
        <v>86</v>
      </c>
      <c r="C164" s="9" t="s">
        <v>74</v>
      </c>
      <c r="D164" s="9">
        <f>0.65*0.05*0.004*7850*ROUNDUP(D157/0.5,0)/1000</f>
        <v>0.21430500000000002</v>
      </c>
      <c r="E164" s="9"/>
    </row>
    <row r="165" spans="1:6" x14ac:dyDescent="0.25">
      <c r="A165" s="11"/>
      <c r="B165" s="11" t="s">
        <v>87</v>
      </c>
      <c r="C165" s="11" t="s">
        <v>59</v>
      </c>
      <c r="D165" s="11">
        <f>ROUNDUP(D157/0.5,0)</f>
        <v>210</v>
      </c>
      <c r="E165" s="11"/>
    </row>
    <row r="166" spans="1:6" x14ac:dyDescent="0.25">
      <c r="A166" s="11"/>
      <c r="B166" s="11" t="s">
        <v>72</v>
      </c>
      <c r="C166" s="11" t="s">
        <v>59</v>
      </c>
      <c r="D166" s="11">
        <f>D165*2</f>
        <v>420</v>
      </c>
      <c r="E166" s="11"/>
    </row>
    <row r="167" spans="1:6" ht="31.5" x14ac:dyDescent="0.25">
      <c r="A167" s="9"/>
      <c r="B167" s="9" t="s">
        <v>88</v>
      </c>
      <c r="C167" s="9" t="s">
        <v>32</v>
      </c>
      <c r="D167" s="9">
        <f>0.8*D157</f>
        <v>83.904000000000011</v>
      </c>
      <c r="E167" s="9"/>
    </row>
    <row r="168" spans="1:6" ht="31.5" x14ac:dyDescent="0.25">
      <c r="A168" s="11"/>
      <c r="B168" s="11" t="s">
        <v>89</v>
      </c>
      <c r="C168" s="11" t="s">
        <v>32</v>
      </c>
      <c r="D168" s="11">
        <f>D167</f>
        <v>83.904000000000011</v>
      </c>
      <c r="E168" s="11"/>
    </row>
    <row r="169" spans="1:6" ht="47.25" x14ac:dyDescent="0.25">
      <c r="A169" s="9"/>
      <c r="B169" s="9" t="s">
        <v>90</v>
      </c>
      <c r="C169" s="9" t="s">
        <v>32</v>
      </c>
      <c r="D169" s="9">
        <f>(0.1+1.2+0.02*2)*D157</f>
        <v>140.53920000000002</v>
      </c>
      <c r="E169" s="9"/>
    </row>
    <row r="170" spans="1:6" ht="47.25" x14ac:dyDescent="0.25">
      <c r="A170" s="11"/>
      <c r="B170" s="11" t="s">
        <v>91</v>
      </c>
      <c r="C170" s="11" t="s">
        <v>32</v>
      </c>
      <c r="D170" s="11">
        <f>D169</f>
        <v>140.53920000000002</v>
      </c>
      <c r="E170" s="11"/>
    </row>
    <row r="171" spans="1:6" x14ac:dyDescent="0.25">
      <c r="A171" s="9"/>
      <c r="B171" s="9" t="s">
        <v>92</v>
      </c>
      <c r="C171" s="9" t="s">
        <v>35</v>
      </c>
      <c r="D171" s="9">
        <f>0.14*0.11*D157</f>
        <v>1.6151520000000004</v>
      </c>
      <c r="E171" s="9"/>
    </row>
    <row r="172" spans="1:6" x14ac:dyDescent="0.25">
      <c r="A172" s="11"/>
      <c r="B172" s="11" t="s">
        <v>124</v>
      </c>
      <c r="C172" s="11" t="s">
        <v>35</v>
      </c>
      <c r="D172" s="11">
        <f>D171*1.03</f>
        <v>1.6636065600000005</v>
      </c>
      <c r="E172" s="11"/>
      <c r="F172" s="13" t="s">
        <v>125</v>
      </c>
    </row>
    <row r="173" spans="1:6" x14ac:dyDescent="0.25">
      <c r="A173" s="24" t="s">
        <v>123</v>
      </c>
      <c r="B173" s="24"/>
      <c r="C173" s="24"/>
      <c r="D173" s="24"/>
      <c r="E173" s="24"/>
    </row>
    <row r="174" spans="1:6" x14ac:dyDescent="0.25">
      <c r="A174" s="9"/>
      <c r="B174" s="9" t="s">
        <v>80</v>
      </c>
      <c r="C174" s="9" t="s">
        <v>32</v>
      </c>
      <c r="D174" s="9">
        <f>D176*'Примыкание к парапету'!AD10</f>
        <v>91.238400000000027</v>
      </c>
      <c r="E174" s="9"/>
    </row>
    <row r="175" spans="1:6" x14ac:dyDescent="0.25">
      <c r="A175" s="11"/>
      <c r="B175" s="11" t="s">
        <v>81</v>
      </c>
      <c r="C175" s="11" t="s">
        <v>32</v>
      </c>
      <c r="D175" s="11">
        <f>D174</f>
        <v>91.238400000000027</v>
      </c>
      <c r="E175" s="11"/>
    </row>
    <row r="176" spans="1:6" ht="63" x14ac:dyDescent="0.25">
      <c r="A176" s="9"/>
      <c r="B176" s="9" t="s">
        <v>82</v>
      </c>
      <c r="C176" s="9" t="s">
        <v>64</v>
      </c>
      <c r="D176" s="9">
        <f>'Примыкание к парапету'!AD4*1.2</f>
        <v>69.12</v>
      </c>
      <c r="E176" s="9"/>
    </row>
    <row r="177" spans="1:6" x14ac:dyDescent="0.25">
      <c r="A177" s="11"/>
      <c r="B177" s="11" t="s">
        <v>65</v>
      </c>
      <c r="C177" s="11" t="s">
        <v>32</v>
      </c>
      <c r="D177" s="11">
        <f>(0.37+0.15+1.43+0.15+0.14+0.1)*D176*1.15</f>
        <v>186.00192000000001</v>
      </c>
      <c r="E177" s="11"/>
    </row>
    <row r="178" spans="1:6" x14ac:dyDescent="0.25">
      <c r="A178" s="11"/>
      <c r="B178" s="11" t="s">
        <v>66</v>
      </c>
      <c r="C178" s="11" t="s">
        <v>32</v>
      </c>
      <c r="D178" s="11">
        <f>0.3*D176+(0.24+0.15+1.43+0.15+0.14+0.1)*D176*1.15</f>
        <v>196.40447999999998</v>
      </c>
      <c r="E178" s="11"/>
    </row>
    <row r="179" spans="1:6" x14ac:dyDescent="0.25">
      <c r="A179" s="11"/>
      <c r="B179" s="11" t="s">
        <v>67</v>
      </c>
      <c r="C179" s="11" t="s">
        <v>43</v>
      </c>
      <c r="D179" s="11">
        <f>0.25*D176*'Примыкание к парапету'!AD10</f>
        <v>22.809600000000007</v>
      </c>
      <c r="E179" s="11" t="s">
        <v>46</v>
      </c>
    </row>
    <row r="180" spans="1:6" ht="31.5" x14ac:dyDescent="0.25">
      <c r="A180" s="11"/>
      <c r="B180" s="11" t="s">
        <v>68</v>
      </c>
      <c r="C180" s="11" t="s">
        <v>64</v>
      </c>
      <c r="D180" s="11">
        <f>D176</f>
        <v>69.12</v>
      </c>
      <c r="E180" s="11"/>
    </row>
    <row r="181" spans="1:6" x14ac:dyDescent="0.25">
      <c r="A181" s="11"/>
      <c r="B181" s="11" t="s">
        <v>69</v>
      </c>
      <c r="C181" s="11" t="s">
        <v>59</v>
      </c>
      <c r="D181" s="11">
        <f>ROUNDUP(D180/0.5,0)</f>
        <v>139</v>
      </c>
      <c r="E181" s="11"/>
    </row>
    <row r="182" spans="1:6" x14ac:dyDescent="0.25">
      <c r="A182" s="11"/>
      <c r="B182" s="11" t="s">
        <v>99</v>
      </c>
      <c r="C182" s="11" t="s">
        <v>59</v>
      </c>
      <c r="D182" s="11">
        <f>ROUNDUP(D180/1.2,0)</f>
        <v>58</v>
      </c>
      <c r="E182" s="11"/>
    </row>
    <row r="183" spans="1:6" ht="31.5" x14ac:dyDescent="0.25">
      <c r="A183" s="9"/>
      <c r="B183" s="9" t="s">
        <v>86</v>
      </c>
      <c r="C183" s="9" t="s">
        <v>74</v>
      </c>
      <c r="D183" s="9">
        <f>0.65*0.05*0.004*7850*ROUNDUP(D176/0.5,0)/1000</f>
        <v>0.14184950000000004</v>
      </c>
      <c r="E183" s="9"/>
    </row>
    <row r="184" spans="1:6" x14ac:dyDescent="0.25">
      <c r="A184" s="11"/>
      <c r="B184" s="11" t="s">
        <v>87</v>
      </c>
      <c r="C184" s="11" t="s">
        <v>59</v>
      </c>
      <c r="D184" s="11">
        <f>ROUNDUP(D176/0.5,0)</f>
        <v>139</v>
      </c>
      <c r="E184" s="11"/>
    </row>
    <row r="185" spans="1:6" x14ac:dyDescent="0.25">
      <c r="A185" s="11"/>
      <c r="B185" s="11" t="s">
        <v>72</v>
      </c>
      <c r="C185" s="11" t="s">
        <v>59</v>
      </c>
      <c r="D185" s="11">
        <f>D184*2</f>
        <v>278</v>
      </c>
      <c r="E185" s="11"/>
    </row>
    <row r="186" spans="1:6" ht="31.5" x14ac:dyDescent="0.25">
      <c r="A186" s="9"/>
      <c r="B186" s="9" t="s">
        <v>88</v>
      </c>
      <c r="C186" s="9" t="s">
        <v>32</v>
      </c>
      <c r="D186" s="9">
        <f>0.8*D176</f>
        <v>55.296000000000006</v>
      </c>
      <c r="E186" s="9"/>
    </row>
    <row r="187" spans="1:6" ht="31.5" x14ac:dyDescent="0.25">
      <c r="A187" s="11"/>
      <c r="B187" s="11" t="s">
        <v>89</v>
      </c>
      <c r="C187" s="11" t="s">
        <v>32</v>
      </c>
      <c r="D187" s="11">
        <f>D186</f>
        <v>55.296000000000006</v>
      </c>
      <c r="E187" s="11"/>
    </row>
    <row r="188" spans="1:6" ht="47.25" x14ac:dyDescent="0.25">
      <c r="A188" s="9"/>
      <c r="B188" s="9" t="s">
        <v>90</v>
      </c>
      <c r="C188" s="9" t="s">
        <v>32</v>
      </c>
      <c r="D188" s="9">
        <f>(0.1+1.2+0.02*2)*D176</f>
        <v>92.620800000000017</v>
      </c>
      <c r="E188" s="9"/>
    </row>
    <row r="189" spans="1:6" ht="47.25" x14ac:dyDescent="0.25">
      <c r="A189" s="11"/>
      <c r="B189" s="11" t="s">
        <v>91</v>
      </c>
      <c r="C189" s="11" t="s">
        <v>32</v>
      </c>
      <c r="D189" s="11">
        <f>D188</f>
        <v>92.620800000000017</v>
      </c>
      <c r="E189" s="11"/>
    </row>
    <row r="190" spans="1:6" x14ac:dyDescent="0.25">
      <c r="A190" s="9"/>
      <c r="B190" s="9" t="s">
        <v>92</v>
      </c>
      <c r="C190" s="9" t="s">
        <v>35</v>
      </c>
      <c r="D190" s="9">
        <f>0.14*0.11*D176</f>
        <v>1.0644480000000003</v>
      </c>
      <c r="E190" s="9"/>
    </row>
    <row r="191" spans="1:6" x14ac:dyDescent="0.25">
      <c r="A191" s="11"/>
      <c r="B191" s="11" t="s">
        <v>124</v>
      </c>
      <c r="C191" s="11" t="s">
        <v>35</v>
      </c>
      <c r="D191" s="11">
        <f>D190*1.03</f>
        <v>1.0963814400000003</v>
      </c>
      <c r="E191" s="11"/>
      <c r="F191" s="13" t="s">
        <v>125</v>
      </c>
    </row>
    <row r="192" spans="1:6" x14ac:dyDescent="0.25">
      <c r="A192" s="24" t="s">
        <v>139</v>
      </c>
      <c r="B192" s="24"/>
      <c r="C192" s="24"/>
      <c r="D192" s="24"/>
      <c r="E192" s="24"/>
    </row>
    <row r="193" spans="1:5" x14ac:dyDescent="0.25">
      <c r="A193" s="9"/>
      <c r="B193" s="9" t="s">
        <v>80</v>
      </c>
      <c r="C193" s="9" t="s">
        <v>32</v>
      </c>
      <c r="D193" s="9">
        <f>D195*'Примыкание к парапету'!A10</f>
        <v>30.288239999999991</v>
      </c>
      <c r="E193" s="9"/>
    </row>
    <row r="194" spans="1:5" x14ac:dyDescent="0.25">
      <c r="A194" s="11"/>
      <c r="B194" s="11" t="s">
        <v>81</v>
      </c>
      <c r="C194" s="11" t="s">
        <v>32</v>
      </c>
      <c r="D194" s="11">
        <f>D193</f>
        <v>30.288239999999991</v>
      </c>
      <c r="E194" s="11"/>
    </row>
    <row r="195" spans="1:5" ht="63" x14ac:dyDescent="0.25">
      <c r="A195" s="9"/>
      <c r="B195" s="9" t="s">
        <v>82</v>
      </c>
      <c r="C195" s="9" t="s">
        <v>64</v>
      </c>
      <c r="D195" s="9">
        <f>'Примыкание к парапету'!A4*1.2</f>
        <v>17.111999999999998</v>
      </c>
      <c r="E195" s="9"/>
    </row>
    <row r="196" spans="1:5" x14ac:dyDescent="0.25">
      <c r="A196" s="11"/>
      <c r="B196" s="11" t="s">
        <v>65</v>
      </c>
      <c r="C196" s="11" t="s">
        <v>32</v>
      </c>
      <c r="D196" s="11">
        <f>(0.37+0.15+1.2+0.15+0.14+0.1)*D195*1.15</f>
        <v>41.52226799999999</v>
      </c>
      <c r="E196" s="11"/>
    </row>
    <row r="197" spans="1:5" x14ac:dyDescent="0.25">
      <c r="A197" s="11"/>
      <c r="B197" s="11" t="s">
        <v>66</v>
      </c>
      <c r="C197" s="11" t="s">
        <v>32</v>
      </c>
      <c r="D197" s="11">
        <f>0.3*D195+(0.24+0.15+1.2+0.15+0.14+0.1)*D195*1.15</f>
        <v>44.097623999999996</v>
      </c>
      <c r="E197" s="11"/>
    </row>
    <row r="198" spans="1:5" x14ac:dyDescent="0.25">
      <c r="A198" s="11"/>
      <c r="B198" s="11" t="s">
        <v>67</v>
      </c>
      <c r="C198" s="11" t="s">
        <v>43</v>
      </c>
      <c r="D198" s="11">
        <f>0.25*D195*'Примыкание к парапету'!A10</f>
        <v>7.5720599999999978</v>
      </c>
      <c r="E198" s="11" t="s">
        <v>46</v>
      </c>
    </row>
    <row r="199" spans="1:5" ht="31.5" x14ac:dyDescent="0.25">
      <c r="A199" s="9"/>
      <c r="B199" s="9" t="s">
        <v>83</v>
      </c>
      <c r="C199" s="9" t="s">
        <v>35</v>
      </c>
      <c r="D199" s="9">
        <f>0.1*0.25*D195</f>
        <v>0.42779999999999996</v>
      </c>
      <c r="E199" s="9"/>
    </row>
    <row r="200" spans="1:5" x14ac:dyDescent="0.25">
      <c r="A200" s="11"/>
      <c r="B200" s="11" t="s">
        <v>84</v>
      </c>
      <c r="C200" s="11" t="s">
        <v>35</v>
      </c>
      <c r="D200" s="11">
        <f>D199</f>
        <v>0.42779999999999996</v>
      </c>
      <c r="E200" s="11" t="s">
        <v>85</v>
      </c>
    </row>
    <row r="201" spans="1:5" ht="31.5" x14ac:dyDescent="0.25">
      <c r="A201" s="9"/>
      <c r="B201" s="9" t="s">
        <v>86</v>
      </c>
      <c r="C201" s="9" t="s">
        <v>74</v>
      </c>
      <c r="D201" s="9">
        <f>0.65*0.05*0.004*7850*ROUNDUP(D195/0.5,0)/1000</f>
        <v>3.5717500000000006E-2</v>
      </c>
      <c r="E201" s="9"/>
    </row>
    <row r="202" spans="1:5" x14ac:dyDescent="0.25">
      <c r="A202" s="11"/>
      <c r="B202" s="11" t="s">
        <v>87</v>
      </c>
      <c r="C202" s="11" t="s">
        <v>59</v>
      </c>
      <c r="D202" s="11">
        <f>ROUNDUP(D195/0.5,0)</f>
        <v>35</v>
      </c>
      <c r="E202" s="11"/>
    </row>
    <row r="203" spans="1:5" x14ac:dyDescent="0.25">
      <c r="A203" s="11"/>
      <c r="B203" s="11" t="s">
        <v>72</v>
      </c>
      <c r="C203" s="11" t="s">
        <v>59</v>
      </c>
      <c r="D203" s="11">
        <f>D202*2</f>
        <v>70</v>
      </c>
      <c r="E203" s="11"/>
    </row>
    <row r="204" spans="1:5" ht="31.5" x14ac:dyDescent="0.25">
      <c r="A204" s="9"/>
      <c r="B204" s="9" t="s">
        <v>88</v>
      </c>
      <c r="C204" s="9" t="s">
        <v>32</v>
      </c>
      <c r="D204" s="9">
        <f>0.8*D195</f>
        <v>13.689599999999999</v>
      </c>
      <c r="E204" s="9"/>
    </row>
    <row r="205" spans="1:5" ht="31.5" x14ac:dyDescent="0.25">
      <c r="A205" s="11"/>
      <c r="B205" s="11" t="s">
        <v>89</v>
      </c>
      <c r="C205" s="11" t="s">
        <v>32</v>
      </c>
      <c r="D205" s="11">
        <f>D204</f>
        <v>13.689599999999999</v>
      </c>
      <c r="E205" s="11"/>
    </row>
    <row r="206" spans="1:5" ht="47.25" x14ac:dyDescent="0.25">
      <c r="A206" s="9"/>
      <c r="B206" s="9" t="s">
        <v>90</v>
      </c>
      <c r="C206" s="9" t="s">
        <v>32</v>
      </c>
      <c r="D206" s="9">
        <f>(0.1+1.2+0.02*2)*D195</f>
        <v>22.93008</v>
      </c>
      <c r="E206" s="9"/>
    </row>
    <row r="207" spans="1:5" ht="47.25" x14ac:dyDescent="0.25">
      <c r="A207" s="11"/>
      <c r="B207" s="11" t="s">
        <v>91</v>
      </c>
      <c r="C207" s="11" t="s">
        <v>32</v>
      </c>
      <c r="D207" s="11"/>
      <c r="E207" s="11"/>
    </row>
    <row r="208" spans="1:5" x14ac:dyDescent="0.25">
      <c r="A208" s="9"/>
      <c r="B208" s="9" t="s">
        <v>92</v>
      </c>
      <c r="C208" s="9" t="s">
        <v>35</v>
      </c>
      <c r="D208" s="9">
        <f>0.14*0.11*D195</f>
        <v>0.2635248</v>
      </c>
      <c r="E208" s="9"/>
    </row>
    <row r="209" spans="1:6" x14ac:dyDescent="0.25">
      <c r="A209" s="11"/>
      <c r="B209" s="11" t="s">
        <v>124</v>
      </c>
      <c r="C209" s="11" t="s">
        <v>35</v>
      </c>
      <c r="D209" s="11">
        <f>D208*1.03</f>
        <v>0.271430544</v>
      </c>
      <c r="E209" s="11"/>
      <c r="F209" s="13" t="s">
        <v>125</v>
      </c>
    </row>
    <row r="210" spans="1:6" x14ac:dyDescent="0.25">
      <c r="A210" s="24" t="s">
        <v>126</v>
      </c>
      <c r="B210" s="24"/>
      <c r="C210" s="24"/>
      <c r="D210" s="24"/>
      <c r="E210" s="24"/>
    </row>
    <row r="211" spans="1:6" x14ac:dyDescent="0.25">
      <c r="A211" s="9"/>
      <c r="B211" s="9" t="s">
        <v>80</v>
      </c>
      <c r="C211" s="9" t="s">
        <v>32</v>
      </c>
      <c r="D211" s="9">
        <f>D213*'Примыкание к парапету'!T10</f>
        <v>110.44799999999996</v>
      </c>
      <c r="E211" s="9"/>
    </row>
    <row r="212" spans="1:6" x14ac:dyDescent="0.25">
      <c r="A212" s="11"/>
      <c r="B212" s="11" t="s">
        <v>81</v>
      </c>
      <c r="C212" s="11" t="s">
        <v>32</v>
      </c>
      <c r="D212" s="11">
        <f>D211</f>
        <v>110.44799999999996</v>
      </c>
      <c r="E212" s="11"/>
    </row>
    <row r="213" spans="1:6" ht="63" x14ac:dyDescent="0.25">
      <c r="A213" s="9"/>
      <c r="B213" s="9" t="s">
        <v>82</v>
      </c>
      <c r="C213" s="9" t="s">
        <v>64</v>
      </c>
      <c r="D213" s="9">
        <f>'Примыкание к парапету'!T4*1.2</f>
        <v>46.8</v>
      </c>
      <c r="E213" s="9"/>
    </row>
    <row r="214" spans="1:6" x14ac:dyDescent="0.25">
      <c r="A214" s="11"/>
      <c r="B214" s="11" t="s">
        <v>65</v>
      </c>
      <c r="C214" s="11" t="s">
        <v>32</v>
      </c>
      <c r="D214" s="11">
        <f>(0.37+0.15+1.2+0.15+0.14+0.1)*D213*1.15</f>
        <v>113.56019999999998</v>
      </c>
      <c r="E214" s="11"/>
    </row>
    <row r="215" spans="1:6" x14ac:dyDescent="0.25">
      <c r="A215" s="11"/>
      <c r="B215" s="11" t="s">
        <v>66</v>
      </c>
      <c r="C215" s="11" t="s">
        <v>32</v>
      </c>
      <c r="D215" s="11">
        <f>0.3*D213+(0.24+0.15+1.79+0.15+0.14+0.1)*D213*1.15</f>
        <v>152.35739999999998</v>
      </c>
      <c r="E215" s="11"/>
    </row>
    <row r="216" spans="1:6" x14ac:dyDescent="0.25">
      <c r="A216" s="11"/>
      <c r="B216" s="11" t="s">
        <v>67</v>
      </c>
      <c r="C216" s="11" t="s">
        <v>43</v>
      </c>
      <c r="D216" s="11">
        <f>0.25*D213*'Примыкание к парапету'!T10</f>
        <v>27.611999999999991</v>
      </c>
      <c r="E216" s="11" t="s">
        <v>46</v>
      </c>
    </row>
    <row r="217" spans="1:6" ht="31.5" x14ac:dyDescent="0.25">
      <c r="A217" s="9"/>
      <c r="B217" s="9" t="s">
        <v>83</v>
      </c>
      <c r="C217" s="9" t="s">
        <v>35</v>
      </c>
      <c r="D217" s="9">
        <f>0.1*0.25*D213</f>
        <v>1.17</v>
      </c>
      <c r="E217" s="9"/>
    </row>
    <row r="218" spans="1:6" x14ac:dyDescent="0.25">
      <c r="A218" s="11"/>
      <c r="B218" s="11" t="s">
        <v>84</v>
      </c>
      <c r="C218" s="11" t="s">
        <v>35</v>
      </c>
      <c r="D218" s="11">
        <f>D217</f>
        <v>1.17</v>
      </c>
      <c r="E218" s="11" t="s">
        <v>85</v>
      </c>
    </row>
    <row r="219" spans="1:6" ht="31.5" x14ac:dyDescent="0.25">
      <c r="A219" s="9"/>
      <c r="B219" s="9" t="s">
        <v>86</v>
      </c>
      <c r="C219" s="9" t="s">
        <v>74</v>
      </c>
      <c r="D219" s="9">
        <f>0.65*0.05*0.004*7850*ROUNDUP(D213/0.5,0)/1000</f>
        <v>9.5927000000000026E-2</v>
      </c>
      <c r="E219" s="9"/>
    </row>
    <row r="220" spans="1:6" x14ac:dyDescent="0.25">
      <c r="A220" s="11"/>
      <c r="B220" s="11" t="s">
        <v>87</v>
      </c>
      <c r="C220" s="11" t="s">
        <v>59</v>
      </c>
      <c r="D220" s="11">
        <f>ROUNDUP(D213/0.5,0)</f>
        <v>94</v>
      </c>
      <c r="E220" s="11"/>
    </row>
    <row r="221" spans="1:6" x14ac:dyDescent="0.25">
      <c r="A221" s="11"/>
      <c r="B221" s="11" t="s">
        <v>72</v>
      </c>
      <c r="C221" s="11" t="s">
        <v>59</v>
      </c>
      <c r="D221" s="11">
        <f>D220*2</f>
        <v>188</v>
      </c>
      <c r="E221" s="11"/>
    </row>
    <row r="222" spans="1:6" ht="31.5" x14ac:dyDescent="0.25">
      <c r="A222" s="9"/>
      <c r="B222" s="9" t="s">
        <v>88</v>
      </c>
      <c r="C222" s="9" t="s">
        <v>32</v>
      </c>
      <c r="D222" s="9">
        <f>0.8*D213</f>
        <v>37.44</v>
      </c>
      <c r="E222" s="9"/>
    </row>
    <row r="223" spans="1:6" ht="31.5" x14ac:dyDescent="0.25">
      <c r="A223" s="11"/>
      <c r="B223" s="11" t="s">
        <v>89</v>
      </c>
      <c r="C223" s="11" t="s">
        <v>32</v>
      </c>
      <c r="D223" s="11">
        <f>D222</f>
        <v>37.44</v>
      </c>
      <c r="E223" s="11"/>
    </row>
    <row r="224" spans="1:6" ht="47.25" x14ac:dyDescent="0.25">
      <c r="A224" s="9"/>
      <c r="B224" s="9" t="s">
        <v>90</v>
      </c>
      <c r="C224" s="9" t="s">
        <v>32</v>
      </c>
      <c r="D224" s="9">
        <f>(0.1+1.2+0.02*2)*D213</f>
        <v>62.712000000000003</v>
      </c>
      <c r="E224" s="9"/>
    </row>
    <row r="225" spans="1:6" ht="47.25" x14ac:dyDescent="0.25">
      <c r="A225" s="11"/>
      <c r="B225" s="11" t="s">
        <v>91</v>
      </c>
      <c r="C225" s="11" t="s">
        <v>32</v>
      </c>
      <c r="D225" s="11"/>
      <c r="E225" s="11"/>
    </row>
    <row r="226" spans="1:6" x14ac:dyDescent="0.25">
      <c r="A226" s="9"/>
      <c r="B226" s="9" t="s">
        <v>92</v>
      </c>
      <c r="C226" s="9" t="s">
        <v>35</v>
      </c>
      <c r="D226" s="9">
        <f>0.14*0.11*D213</f>
        <v>0.72072000000000003</v>
      </c>
      <c r="E226" s="9"/>
    </row>
    <row r="227" spans="1:6" x14ac:dyDescent="0.25">
      <c r="A227" s="11"/>
      <c r="B227" s="11" t="s">
        <v>124</v>
      </c>
      <c r="C227" s="11" t="s">
        <v>35</v>
      </c>
      <c r="D227" s="11">
        <f>D226*1.03</f>
        <v>0.74234160000000005</v>
      </c>
      <c r="E227" s="11"/>
      <c r="F227" s="13" t="s">
        <v>125</v>
      </c>
    </row>
    <row r="228" spans="1:6" x14ac:dyDescent="0.25">
      <c r="A228" s="24" t="s">
        <v>140</v>
      </c>
      <c r="B228" s="24"/>
      <c r="C228" s="24"/>
      <c r="D228" s="24"/>
      <c r="E228" s="24"/>
      <c r="F228" s="16"/>
    </row>
    <row r="229" spans="1:6" ht="63" x14ac:dyDescent="0.25">
      <c r="A229" s="9"/>
      <c r="B229" s="9" t="s">
        <v>63</v>
      </c>
      <c r="C229" s="9" t="s">
        <v>64</v>
      </c>
      <c r="D229" s="9">
        <f>'ВОР Ме каркас, ограждения'!D5+'ВОР Ме каркас, ограждения'!D16+'ВОР Ме каркас, ограждения'!D27+'ВОР Ме каркас, ограждения'!D38</f>
        <v>284.04599999999994</v>
      </c>
      <c r="E229" s="9"/>
      <c r="F229" s="17" t="s">
        <v>129</v>
      </c>
    </row>
    <row r="230" spans="1:6" x14ac:dyDescent="0.25">
      <c r="A230" s="11"/>
      <c r="B230" s="11" t="s">
        <v>65</v>
      </c>
      <c r="C230" s="11" t="s">
        <v>32</v>
      </c>
      <c r="D230" s="11">
        <f>D229*0.7*1.15</f>
        <v>228.65702999999991</v>
      </c>
      <c r="E230" s="11"/>
      <c r="F230" s="8">
        <f>35+12.73+37.3+12.73+111.24+152.16+42.54+12.73+98.36+12.73+175</f>
        <v>702.52</v>
      </c>
    </row>
    <row r="231" spans="1:6" x14ac:dyDescent="0.25">
      <c r="A231" s="11"/>
      <c r="B231" s="11" t="s">
        <v>66</v>
      </c>
      <c r="C231" s="11" t="s">
        <v>32</v>
      </c>
      <c r="D231" s="11">
        <f>D229*0.81*1.15</f>
        <v>264.58884899999993</v>
      </c>
      <c r="E231" s="11"/>
      <c r="F231" s="8">
        <f>(100+179.8+50)+(37.56+12.73+99.71+172.35+46.27+12.73+98.36)</f>
        <v>809.51</v>
      </c>
    </row>
    <row r="232" spans="1:6" x14ac:dyDescent="0.25">
      <c r="A232" s="11"/>
      <c r="B232" s="11" t="s">
        <v>67</v>
      </c>
      <c r="C232" s="11" t="s">
        <v>43</v>
      </c>
      <c r="D232" s="11">
        <f>0.25*D229*0.94</f>
        <v>66.750809999999987</v>
      </c>
      <c r="E232" s="11"/>
      <c r="F232" s="8"/>
    </row>
    <row r="233" spans="1:6" ht="31.5" x14ac:dyDescent="0.25">
      <c r="A233" s="11"/>
      <c r="B233" s="11" t="s">
        <v>68</v>
      </c>
      <c r="C233" s="11" t="s">
        <v>64</v>
      </c>
      <c r="D233" s="11">
        <f>D229</f>
        <v>284.04599999999994</v>
      </c>
      <c r="E233" s="11"/>
      <c r="F233" s="8"/>
    </row>
    <row r="234" spans="1:6" x14ac:dyDescent="0.25">
      <c r="A234" s="11"/>
      <c r="B234" s="11" t="s">
        <v>69</v>
      </c>
      <c r="C234" s="11" t="s">
        <v>59</v>
      </c>
      <c r="D234" s="11">
        <f>ROUNDUP(D233/0.5,0)</f>
        <v>569</v>
      </c>
      <c r="E234" s="11"/>
      <c r="F234" s="8"/>
    </row>
    <row r="235" spans="1:6" x14ac:dyDescent="0.25">
      <c r="A235" s="11"/>
      <c r="B235" s="11" t="s">
        <v>122</v>
      </c>
      <c r="C235" s="11" t="s">
        <v>59</v>
      </c>
      <c r="D235" s="11">
        <f>ROUNDUP(D233/1.2,0)</f>
        <v>237</v>
      </c>
      <c r="E235" s="11"/>
      <c r="F235" s="8"/>
    </row>
    <row r="236" spans="1:6" x14ac:dyDescent="0.25">
      <c r="A236" s="11"/>
      <c r="B236" s="11" t="s">
        <v>71</v>
      </c>
      <c r="C236" s="11" t="s">
        <v>32</v>
      </c>
      <c r="D236" s="11">
        <f>D229*0.42</f>
        <v>119.29931999999997</v>
      </c>
      <c r="E236" s="11"/>
      <c r="F236" s="8">
        <f>80.92+55+55+55+5.94+20+150</f>
        <v>421.86</v>
      </c>
    </row>
    <row r="237" spans="1:6" x14ac:dyDescent="0.25">
      <c r="A237" s="11"/>
      <c r="B237" s="11" t="s">
        <v>72</v>
      </c>
      <c r="C237" s="11" t="s">
        <v>59</v>
      </c>
      <c r="D237" s="11">
        <f>ROUNDUP(D229/0.3,0)</f>
        <v>947</v>
      </c>
      <c r="E237" s="11"/>
      <c r="F237" s="8"/>
    </row>
    <row r="238" spans="1:6" ht="31.5" x14ac:dyDescent="0.25">
      <c r="A238" s="11"/>
      <c r="B238" s="11" t="s">
        <v>73</v>
      </c>
      <c r="C238" s="11" t="s">
        <v>59</v>
      </c>
      <c r="D238" s="11">
        <f>ROUNDUP((D229*0.01*0.02)/0.00031,0)</f>
        <v>184</v>
      </c>
      <c r="E238" s="11"/>
      <c r="F238" s="8"/>
    </row>
    <row r="239" spans="1:6" x14ac:dyDescent="0.25">
      <c r="A239" s="24" t="s">
        <v>151</v>
      </c>
      <c r="B239" s="24"/>
      <c r="C239" s="24"/>
      <c r="D239" s="24"/>
      <c r="E239" s="24"/>
    </row>
    <row r="240" spans="1:6" ht="31.5" x14ac:dyDescent="0.25">
      <c r="A240" s="19"/>
      <c r="B240" s="20" t="s">
        <v>130</v>
      </c>
      <c r="C240" s="20" t="s">
        <v>32</v>
      </c>
      <c r="D240" s="19">
        <f>114.57/2+81.7+98.63+100.02</f>
        <v>337.63499999999999</v>
      </c>
      <c r="E240" s="19" t="s">
        <v>131</v>
      </c>
      <c r="F240" s="23" t="s">
        <v>152</v>
      </c>
    </row>
    <row r="241" spans="1:10" x14ac:dyDescent="0.25">
      <c r="A241" s="24" t="s">
        <v>153</v>
      </c>
      <c r="B241" s="24"/>
      <c r="C241" s="24"/>
      <c r="D241" s="24"/>
      <c r="E241" s="24"/>
    </row>
    <row r="242" spans="1:10" ht="63" x14ac:dyDescent="0.25">
      <c r="A242" s="22"/>
      <c r="B242" s="9" t="s">
        <v>149</v>
      </c>
      <c r="C242" s="22" t="s">
        <v>64</v>
      </c>
      <c r="D242" s="22">
        <f>(10.94+7.3+7.1+0.8+7.7)+(8.2+1.15+7.1+8+11.49)</f>
        <v>69.78</v>
      </c>
      <c r="E242" s="9" t="s">
        <v>150</v>
      </c>
      <c r="F242" s="33" t="s">
        <v>177</v>
      </c>
      <c r="G242" s="33"/>
      <c r="H242" s="33"/>
      <c r="I242" s="33"/>
      <c r="J242" s="33"/>
    </row>
    <row r="243" spans="1:10" x14ac:dyDescent="0.25">
      <c r="A243" s="19"/>
      <c r="B243" s="11" t="s">
        <v>66</v>
      </c>
      <c r="C243" s="19" t="s">
        <v>32</v>
      </c>
      <c r="D243" s="19">
        <f>(0.2+1.19+0.15+0.25+0.05+0.15)*D242</f>
        <v>138.86219999999997</v>
      </c>
      <c r="E243" s="19"/>
    </row>
    <row r="244" spans="1:10" x14ac:dyDescent="0.25">
      <c r="A244" s="19"/>
      <c r="B244" s="11" t="s">
        <v>168</v>
      </c>
      <c r="C244" s="19" t="s">
        <v>59</v>
      </c>
      <c r="D244" s="19">
        <f>ROUNDUP(5*D242,0)</f>
        <v>349</v>
      </c>
      <c r="E244" s="19" t="s">
        <v>174</v>
      </c>
    </row>
    <row r="245" spans="1:10" x14ac:dyDescent="0.25">
      <c r="A245" s="19"/>
      <c r="B245" s="11" t="s">
        <v>157</v>
      </c>
      <c r="C245" s="19" t="s">
        <v>59</v>
      </c>
      <c r="D245" s="19">
        <f>D244</f>
        <v>349</v>
      </c>
      <c r="E245" s="19" t="s">
        <v>174</v>
      </c>
    </row>
    <row r="246" spans="1:10" x14ac:dyDescent="0.25">
      <c r="A246" s="19"/>
      <c r="B246" s="11" t="s">
        <v>169</v>
      </c>
      <c r="C246" s="19" t="s">
        <v>59</v>
      </c>
      <c r="D246" s="19">
        <f>D245</f>
        <v>349</v>
      </c>
      <c r="E246" s="19" t="s">
        <v>174</v>
      </c>
    </row>
    <row r="247" spans="1:10" x14ac:dyDescent="0.25">
      <c r="A247" s="19"/>
      <c r="B247" s="11" t="s">
        <v>66</v>
      </c>
      <c r="C247" s="19" t="s">
        <v>32</v>
      </c>
      <c r="D247" s="19">
        <f>0.35*D242</f>
        <v>24.422999999999998</v>
      </c>
      <c r="E247" s="19" t="s">
        <v>165</v>
      </c>
    </row>
    <row r="248" spans="1:10" x14ac:dyDescent="0.25">
      <c r="A248" s="19"/>
      <c r="B248" s="11" t="s">
        <v>154</v>
      </c>
      <c r="C248" s="19" t="s">
        <v>35</v>
      </c>
      <c r="D248" s="19">
        <f>(1.19+0.57+0.15)*D242*0.15</f>
        <v>19.991969999999998</v>
      </c>
      <c r="E248" s="19"/>
    </row>
    <row r="249" spans="1:10" x14ac:dyDescent="0.25">
      <c r="A249" s="19"/>
      <c r="B249" s="11" t="s">
        <v>156</v>
      </c>
      <c r="C249" s="19" t="s">
        <v>59</v>
      </c>
      <c r="D249" s="19">
        <f>ROUNDUP(5*D252,0)</f>
        <v>615</v>
      </c>
      <c r="E249" s="19" t="s">
        <v>173</v>
      </c>
    </row>
    <row r="250" spans="1:10" x14ac:dyDescent="0.25">
      <c r="A250" s="19"/>
      <c r="B250" s="11" t="s">
        <v>157</v>
      </c>
      <c r="C250" s="19" t="s">
        <v>59</v>
      </c>
      <c r="D250" s="19">
        <f>D249+D263</f>
        <v>853</v>
      </c>
      <c r="E250" s="19" t="s">
        <v>173</v>
      </c>
    </row>
    <row r="251" spans="1:10" x14ac:dyDescent="0.25">
      <c r="A251" s="19"/>
      <c r="B251" s="11" t="s">
        <v>158</v>
      </c>
      <c r="C251" s="19" t="s">
        <v>59</v>
      </c>
      <c r="D251" s="19">
        <f>D249</f>
        <v>615</v>
      </c>
      <c r="E251" s="19" t="s">
        <v>173</v>
      </c>
    </row>
    <row r="252" spans="1:10" x14ac:dyDescent="0.25">
      <c r="A252" s="19"/>
      <c r="B252" s="11" t="s">
        <v>155</v>
      </c>
      <c r="C252" s="19" t="s">
        <v>32</v>
      </c>
      <c r="D252" s="19">
        <f>(1.19+0.57)*D242</f>
        <v>122.81279999999998</v>
      </c>
      <c r="E252" s="19"/>
    </row>
    <row r="253" spans="1:10" x14ac:dyDescent="0.25">
      <c r="A253" s="19"/>
      <c r="B253" s="11" t="s">
        <v>156</v>
      </c>
      <c r="C253" s="19" t="s">
        <v>59</v>
      </c>
      <c r="D253" s="19">
        <f>ROUNDUP(3*D242,0)*2</f>
        <v>420</v>
      </c>
      <c r="E253" s="19" t="s">
        <v>176</v>
      </c>
    </row>
    <row r="254" spans="1:10" x14ac:dyDescent="0.25">
      <c r="A254" s="19"/>
      <c r="B254" s="11" t="s">
        <v>166</v>
      </c>
      <c r="C254" s="19" t="s">
        <v>32</v>
      </c>
      <c r="D254" s="19">
        <f>(0.15+1.19+0.57)*D242</f>
        <v>133.27979999999999</v>
      </c>
      <c r="E254" s="19"/>
    </row>
    <row r="255" spans="1:10" x14ac:dyDescent="0.25">
      <c r="A255" s="19"/>
      <c r="B255" s="11" t="s">
        <v>167</v>
      </c>
      <c r="C255" s="19" t="s">
        <v>43</v>
      </c>
      <c r="D255" s="19">
        <f>0.25*(1.19+0.57)*D242+1.19*D242</f>
        <v>113.7414</v>
      </c>
      <c r="E255" s="19" t="s">
        <v>46</v>
      </c>
    </row>
    <row r="256" spans="1:10" x14ac:dyDescent="0.25">
      <c r="A256" s="19"/>
      <c r="B256" s="11" t="s">
        <v>170</v>
      </c>
      <c r="C256" s="19" t="s">
        <v>35</v>
      </c>
      <c r="D256" s="19">
        <f>0.1*0.25*D242</f>
        <v>1.7445000000000002</v>
      </c>
      <c r="E256" s="19" t="s">
        <v>85</v>
      </c>
    </row>
    <row r="257" spans="1:11" ht="31.5" x14ac:dyDescent="0.25">
      <c r="A257" s="19"/>
      <c r="B257" s="11" t="s">
        <v>171</v>
      </c>
      <c r="C257" s="19" t="s">
        <v>64</v>
      </c>
      <c r="D257" s="19">
        <f>D242*2</f>
        <v>139.56</v>
      </c>
      <c r="E257" s="19"/>
    </row>
    <row r="258" spans="1:11" x14ac:dyDescent="0.25">
      <c r="A258" s="19"/>
      <c r="B258" s="11" t="s">
        <v>168</v>
      </c>
      <c r="C258" s="19" t="s">
        <v>59</v>
      </c>
      <c r="D258" s="19">
        <f>ROUNDUP(3*D242,0)</f>
        <v>210</v>
      </c>
      <c r="E258" s="19" t="s">
        <v>175</v>
      </c>
    </row>
    <row r="259" spans="1:11" x14ac:dyDescent="0.25">
      <c r="A259" s="19"/>
      <c r="B259" s="11" t="s">
        <v>157</v>
      </c>
      <c r="C259" s="19" t="s">
        <v>59</v>
      </c>
      <c r="D259" s="19">
        <f>D258</f>
        <v>210</v>
      </c>
      <c r="E259" s="19" t="s">
        <v>175</v>
      </c>
    </row>
    <row r="260" spans="1:11" ht="31.5" x14ac:dyDescent="0.25">
      <c r="A260" s="22"/>
      <c r="B260" s="9" t="s">
        <v>178</v>
      </c>
      <c r="C260" s="22" t="s">
        <v>32</v>
      </c>
      <c r="D260" s="22">
        <f>(0.15+0.25+0.15)*D242</f>
        <v>38.379000000000005</v>
      </c>
      <c r="E260" s="22"/>
    </row>
    <row r="261" spans="1:11" x14ac:dyDescent="0.25">
      <c r="A261" s="22"/>
      <c r="B261" s="9" t="s">
        <v>179</v>
      </c>
      <c r="C261" s="22" t="s">
        <v>32</v>
      </c>
      <c r="D261" s="22">
        <f>D265</f>
        <v>61.406399999999998</v>
      </c>
      <c r="E261" s="22"/>
    </row>
    <row r="262" spans="1:11" ht="47.25" x14ac:dyDescent="0.25">
      <c r="A262" s="19"/>
      <c r="B262" s="11" t="s">
        <v>159</v>
      </c>
      <c r="C262" s="19" t="s">
        <v>59</v>
      </c>
      <c r="D262" s="19">
        <f>ROUNDUP(1.7*D242,0)</f>
        <v>119</v>
      </c>
      <c r="E262" s="11" t="s">
        <v>162</v>
      </c>
      <c r="F262">
        <f>0.04*0.1*0.002*7850+0.75*0.04*0.002*7850+0.04*0.1*0.002*7850</f>
        <v>0.59660000000000002</v>
      </c>
      <c r="G262" t="s">
        <v>164</v>
      </c>
    </row>
    <row r="263" spans="1:11" x14ac:dyDescent="0.25">
      <c r="A263" s="19"/>
      <c r="B263" s="11" t="s">
        <v>156</v>
      </c>
      <c r="C263" s="19" t="s">
        <v>59</v>
      </c>
      <c r="D263" s="19">
        <f>ROUNDUP(3.4*D242,0)</f>
        <v>238</v>
      </c>
      <c r="E263" s="19" t="s">
        <v>172</v>
      </c>
    </row>
    <row r="264" spans="1:11" x14ac:dyDescent="0.25">
      <c r="A264" s="19"/>
      <c r="B264" s="11" t="s">
        <v>157</v>
      </c>
      <c r="C264" s="19" t="s">
        <v>59</v>
      </c>
      <c r="D264" s="19">
        <f>D263</f>
        <v>238</v>
      </c>
      <c r="E264" s="19" t="s">
        <v>172</v>
      </c>
    </row>
    <row r="265" spans="1:11" ht="31.5" x14ac:dyDescent="0.25">
      <c r="A265" s="19"/>
      <c r="B265" s="11" t="s">
        <v>160</v>
      </c>
      <c r="C265" s="19" t="s">
        <v>32</v>
      </c>
      <c r="D265" s="19">
        <f>D242*F265</f>
        <v>61.406399999999998</v>
      </c>
      <c r="E265" s="19" t="s">
        <v>161</v>
      </c>
      <c r="F265">
        <f>(20+5+40+750+40+5+20)/1000</f>
        <v>0.88</v>
      </c>
      <c r="G265" s="12" t="s">
        <v>163</v>
      </c>
    </row>
    <row r="266" spans="1:11" x14ac:dyDescent="0.25">
      <c r="A266" s="24" t="s">
        <v>180</v>
      </c>
      <c r="B266" s="24"/>
      <c r="C266" s="24"/>
      <c r="D266" s="24"/>
      <c r="E266" s="24"/>
    </row>
    <row r="267" spans="1:11" ht="63" x14ac:dyDescent="0.25">
      <c r="A267" s="22"/>
      <c r="B267" s="9" t="s">
        <v>183</v>
      </c>
      <c r="C267" s="22" t="s">
        <v>64</v>
      </c>
      <c r="D267" s="22">
        <f>11.8*2</f>
        <v>23.6</v>
      </c>
      <c r="E267" s="9" t="s">
        <v>181</v>
      </c>
      <c r="F267" s="33" t="s">
        <v>182</v>
      </c>
      <c r="G267" s="33"/>
      <c r="H267" s="33"/>
      <c r="I267" s="33"/>
      <c r="J267" s="33"/>
      <c r="K267">
        <f>15.93-15.684</f>
        <v>0.24600000000000044</v>
      </c>
    </row>
    <row r="268" spans="1:11" x14ac:dyDescent="0.25">
      <c r="A268" s="19"/>
      <c r="B268" s="11" t="s">
        <v>65</v>
      </c>
      <c r="C268" s="19" t="s">
        <v>32</v>
      </c>
      <c r="D268" s="19">
        <f>(0.25+0.15+0.25+0.09+0.2)*D267</f>
        <v>22.184000000000001</v>
      </c>
      <c r="E268" s="19"/>
    </row>
    <row r="269" spans="1:11" x14ac:dyDescent="0.25">
      <c r="A269" s="19"/>
      <c r="B269" s="11" t="s">
        <v>66</v>
      </c>
      <c r="C269" s="19" t="s">
        <v>32</v>
      </c>
      <c r="D269" s="19">
        <f>(0.25+0.15+0.25+0.09+0.15)*D267</f>
        <v>21.004000000000001</v>
      </c>
      <c r="E269" s="19"/>
    </row>
    <row r="270" spans="1:11" x14ac:dyDescent="0.25">
      <c r="A270" s="19"/>
      <c r="B270" s="11" t="s">
        <v>66</v>
      </c>
      <c r="C270" s="19" t="s">
        <v>32</v>
      </c>
      <c r="D270" s="19">
        <f>0.2*D267</f>
        <v>4.7200000000000006</v>
      </c>
      <c r="E270" s="19" t="s">
        <v>165</v>
      </c>
    </row>
    <row r="271" spans="1:11" ht="31.5" x14ac:dyDescent="0.25">
      <c r="A271" s="19"/>
      <c r="B271" s="11" t="s">
        <v>73</v>
      </c>
      <c r="C271" s="19" t="s">
        <v>59</v>
      </c>
      <c r="D271" s="19">
        <f>ROUNDUP((D267*0.01*0.15)/0.00031,0)</f>
        <v>115</v>
      </c>
      <c r="E271" s="19"/>
    </row>
    <row r="272" spans="1:11" x14ac:dyDescent="0.25">
      <c r="A272" s="19"/>
      <c r="B272" s="11" t="s">
        <v>154</v>
      </c>
      <c r="C272" s="19" t="s">
        <v>35</v>
      </c>
      <c r="D272" s="19">
        <f>D267*(0.57+0.25)*0.15</f>
        <v>2.9028</v>
      </c>
      <c r="E272" s="19"/>
    </row>
    <row r="273" spans="1:6" x14ac:dyDescent="0.25">
      <c r="A273" s="19"/>
      <c r="B273" s="11" t="s">
        <v>156</v>
      </c>
      <c r="C273" s="19" t="s">
        <v>59</v>
      </c>
      <c r="D273" s="19">
        <f>ROUNDUP(5*D276,0)</f>
        <v>97</v>
      </c>
      <c r="E273" s="19" t="s">
        <v>173</v>
      </c>
    </row>
    <row r="274" spans="1:6" x14ac:dyDescent="0.25">
      <c r="A274" s="19"/>
      <c r="B274" s="11" t="s">
        <v>157</v>
      </c>
      <c r="C274" s="19" t="s">
        <v>59</v>
      </c>
      <c r="D274" s="19">
        <f>D273+D287</f>
        <v>98.411199999999994</v>
      </c>
      <c r="E274" s="19" t="s">
        <v>173</v>
      </c>
    </row>
    <row r="275" spans="1:6" x14ac:dyDescent="0.25">
      <c r="A275" s="19"/>
      <c r="B275" s="11" t="s">
        <v>158</v>
      </c>
      <c r="C275" s="19" t="s">
        <v>59</v>
      </c>
      <c r="D275" s="19">
        <f>D273</f>
        <v>97</v>
      </c>
      <c r="E275" s="19" t="s">
        <v>173</v>
      </c>
    </row>
    <row r="276" spans="1:6" x14ac:dyDescent="0.25">
      <c r="A276" s="19"/>
      <c r="B276" s="11" t="s">
        <v>184</v>
      </c>
      <c r="C276" s="19" t="s">
        <v>32</v>
      </c>
      <c r="D276" s="19">
        <f>(0.57+0.25)*D267</f>
        <v>19.352</v>
      </c>
      <c r="E276" s="19"/>
    </row>
    <row r="277" spans="1:6" x14ac:dyDescent="0.25">
      <c r="A277" s="19"/>
      <c r="B277" s="11" t="s">
        <v>185</v>
      </c>
      <c r="C277" s="19" t="s">
        <v>43</v>
      </c>
      <c r="D277" s="19">
        <f>0.25*D267*(0.57+0.25)</f>
        <v>4.8380000000000001</v>
      </c>
      <c r="E277" s="19" t="s">
        <v>46</v>
      </c>
    </row>
    <row r="278" spans="1:6" ht="31.5" x14ac:dyDescent="0.25">
      <c r="A278" s="19"/>
      <c r="B278" s="11" t="s">
        <v>186</v>
      </c>
      <c r="C278" s="19" t="s">
        <v>32</v>
      </c>
      <c r="D278" s="19">
        <f>(0.25+0.4)*D267</f>
        <v>15.340000000000002</v>
      </c>
      <c r="E278" s="19"/>
    </row>
    <row r="279" spans="1:6" x14ac:dyDescent="0.25">
      <c r="A279" s="19"/>
      <c r="B279" s="11" t="s">
        <v>170</v>
      </c>
      <c r="C279" s="19" t="s">
        <v>35</v>
      </c>
      <c r="D279" s="19">
        <f>0.1*0.25*D267</f>
        <v>0.59000000000000008</v>
      </c>
      <c r="E279" s="19" t="s">
        <v>85</v>
      </c>
    </row>
    <row r="280" spans="1:6" x14ac:dyDescent="0.25">
      <c r="A280" s="19"/>
      <c r="B280" s="11" t="s">
        <v>166</v>
      </c>
      <c r="C280" s="19" t="s">
        <v>32</v>
      </c>
      <c r="D280" s="19">
        <f>(0.15+0.57+0.25)*D267</f>
        <v>22.891999999999999</v>
      </c>
      <c r="E280" s="19" t="s">
        <v>187</v>
      </c>
    </row>
    <row r="281" spans="1:6" ht="31.5" x14ac:dyDescent="0.25">
      <c r="A281" s="19"/>
      <c r="B281" s="11" t="s">
        <v>171</v>
      </c>
      <c r="C281" s="19" t="s">
        <v>64</v>
      </c>
      <c r="D281" s="19">
        <f>D267*2</f>
        <v>47.2</v>
      </c>
      <c r="E281" s="19"/>
    </row>
    <row r="282" spans="1:6" x14ac:dyDescent="0.25">
      <c r="A282" s="19"/>
      <c r="B282" s="11" t="s">
        <v>168</v>
      </c>
      <c r="C282" s="19" t="s">
        <v>59</v>
      </c>
      <c r="D282" s="19">
        <f>ROUNDUP(3*D281,0)</f>
        <v>142</v>
      </c>
      <c r="E282" s="19" t="s">
        <v>175</v>
      </c>
    </row>
    <row r="283" spans="1:6" x14ac:dyDescent="0.25">
      <c r="A283" s="19"/>
      <c r="B283" s="11" t="s">
        <v>157</v>
      </c>
      <c r="C283" s="19" t="s">
        <v>59</v>
      </c>
      <c r="D283" s="19">
        <f>D282</f>
        <v>142</v>
      </c>
      <c r="E283" s="19" t="s">
        <v>175</v>
      </c>
    </row>
    <row r="284" spans="1:6" x14ac:dyDescent="0.25">
      <c r="A284" s="24" t="s">
        <v>193</v>
      </c>
      <c r="B284" s="24"/>
      <c r="C284" s="24"/>
      <c r="D284" s="24"/>
      <c r="E284" s="24"/>
    </row>
    <row r="285" spans="1:6" ht="31.5" x14ac:dyDescent="0.25">
      <c r="A285" s="22"/>
      <c r="B285" s="9" t="s">
        <v>200</v>
      </c>
      <c r="C285" s="22" t="s">
        <v>59</v>
      </c>
      <c r="D285" s="22">
        <v>28</v>
      </c>
      <c r="E285" s="9" t="s">
        <v>199</v>
      </c>
      <c r="F285" s="15" t="s">
        <v>201</v>
      </c>
    </row>
    <row r="286" spans="1:6" x14ac:dyDescent="0.25">
      <c r="A286" s="19"/>
      <c r="B286" s="11" t="s">
        <v>66</v>
      </c>
      <c r="C286" s="19" t="s">
        <v>32</v>
      </c>
      <c r="D286" s="19">
        <f>(0.3+0.15+0.05+0.05)*F287*D285</f>
        <v>1.9403999999999997</v>
      </c>
      <c r="E286" s="19"/>
      <c r="F286" t="s">
        <v>202</v>
      </c>
    </row>
    <row r="287" spans="1:6" x14ac:dyDescent="0.25">
      <c r="A287" s="19"/>
      <c r="B287" s="11" t="s">
        <v>66</v>
      </c>
      <c r="C287" s="19" t="s">
        <v>32</v>
      </c>
      <c r="D287" s="19">
        <f>(0.05+0.15+0.2)*F287*D285</f>
        <v>1.4112</v>
      </c>
      <c r="E287" s="19"/>
      <c r="F287">
        <f>ROUNDUP(PI()*0.04,3)</f>
        <v>0.126</v>
      </c>
    </row>
    <row r="288" spans="1:6" x14ac:dyDescent="0.25">
      <c r="A288" s="19"/>
      <c r="B288" s="11" t="s">
        <v>66</v>
      </c>
      <c r="C288" s="19" t="s">
        <v>32</v>
      </c>
      <c r="D288" s="19">
        <f>(0.15+0.1)*F287*D285</f>
        <v>0.88200000000000001</v>
      </c>
      <c r="E288" s="19"/>
    </row>
    <row r="289" spans="1:5" x14ac:dyDescent="0.25">
      <c r="A289" s="19"/>
      <c r="B289" s="11" t="s">
        <v>203</v>
      </c>
      <c r="C289" s="19" t="s">
        <v>59</v>
      </c>
      <c r="D289" s="19">
        <f>2*D285</f>
        <v>56</v>
      </c>
      <c r="E289" s="19"/>
    </row>
    <row r="290" spans="1:5" x14ac:dyDescent="0.25">
      <c r="A290" s="19"/>
      <c r="B290" s="11" t="s">
        <v>204</v>
      </c>
      <c r="C290" s="19" t="s">
        <v>59</v>
      </c>
      <c r="D290" s="19">
        <f>D285</f>
        <v>28</v>
      </c>
      <c r="E290" s="19"/>
    </row>
    <row r="291" spans="1:5" ht="31.5" x14ac:dyDescent="0.25">
      <c r="A291" s="19"/>
      <c r="B291" s="11" t="s">
        <v>73</v>
      </c>
      <c r="C291" s="19" t="s">
        <v>59</v>
      </c>
      <c r="D291" s="19">
        <f>ROUNDUP((150*F287*D285)/310,0)</f>
        <v>2</v>
      </c>
      <c r="E291" s="19"/>
    </row>
    <row r="292" spans="1:5" x14ac:dyDescent="0.25">
      <c r="A292" s="19"/>
      <c r="B292" s="11" t="s">
        <v>205</v>
      </c>
      <c r="C292" s="19" t="s">
        <v>32</v>
      </c>
      <c r="D292" s="19">
        <f>F287*(0.25+0.57)*D285</f>
        <v>2.89296</v>
      </c>
      <c r="E292" s="19"/>
    </row>
  </sheetData>
  <mergeCells count="21">
    <mergeCell ref="A266:E266"/>
    <mergeCell ref="F267:J267"/>
    <mergeCell ref="A284:E284"/>
    <mergeCell ref="A173:E173"/>
    <mergeCell ref="A192:E192"/>
    <mergeCell ref="A210:E210"/>
    <mergeCell ref="A239:E239"/>
    <mergeCell ref="A241:E241"/>
    <mergeCell ref="F242:J242"/>
    <mergeCell ref="A91:E91"/>
    <mergeCell ref="A228:E228"/>
    <mergeCell ref="A109:E109"/>
    <mergeCell ref="A122:E122"/>
    <mergeCell ref="A135:E135"/>
    <mergeCell ref="A154:E154"/>
    <mergeCell ref="A57:E57"/>
    <mergeCell ref="A1:D1"/>
    <mergeCell ref="B2:E2"/>
    <mergeCell ref="A4:E4"/>
    <mergeCell ref="A5:E5"/>
    <mergeCell ref="A32:E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AD30"/>
  <sheetViews>
    <sheetView workbookViewId="0">
      <selection activeCell="AD3" sqref="AD3"/>
    </sheetView>
  </sheetViews>
  <sheetFormatPr defaultRowHeight="15.75" x14ac:dyDescent="0.25"/>
  <sheetData>
    <row r="1" spans="1:30" x14ac:dyDescent="0.25">
      <c r="A1" t="s">
        <v>20</v>
      </c>
      <c r="E1" t="s">
        <v>19</v>
      </c>
      <c r="J1" t="s">
        <v>19</v>
      </c>
      <c r="O1" t="s">
        <v>19</v>
      </c>
      <c r="T1" t="s">
        <v>20</v>
      </c>
      <c r="Y1" t="s">
        <v>19</v>
      </c>
      <c r="AD1" t="s">
        <v>19</v>
      </c>
    </row>
    <row r="2" spans="1:30" x14ac:dyDescent="0.25">
      <c r="A2" t="s">
        <v>17</v>
      </c>
      <c r="E2" t="s">
        <v>18</v>
      </c>
      <c r="J2" t="s">
        <v>17</v>
      </c>
      <c r="O2" t="s">
        <v>16</v>
      </c>
      <c r="T2" t="s">
        <v>15</v>
      </c>
      <c r="Y2" t="s">
        <v>14</v>
      </c>
      <c r="AD2" t="s">
        <v>13</v>
      </c>
    </row>
    <row r="3" spans="1:30" x14ac:dyDescent="0.25">
      <c r="A3" t="s">
        <v>12</v>
      </c>
      <c r="E3" t="s">
        <v>12</v>
      </c>
      <c r="J3" t="s">
        <v>12</v>
      </c>
      <c r="O3" t="s">
        <v>12</v>
      </c>
      <c r="T3" t="s">
        <v>12</v>
      </c>
      <c r="Y3" t="s">
        <v>12</v>
      </c>
      <c r="AD3" t="s">
        <v>12</v>
      </c>
    </row>
    <row r="4" spans="1:30" x14ac:dyDescent="0.25">
      <c r="A4">
        <v>14.26</v>
      </c>
      <c r="E4">
        <f>(7.745+4.8)*2+4.65+6.5525+2.56197+2.95292+4.46447</f>
        <v>46.271860000000004</v>
      </c>
      <c r="J4">
        <v>109.7</v>
      </c>
      <c r="O4">
        <f>'ВОР Ме каркас, ограждения'!D89</f>
        <v>0</v>
      </c>
      <c r="T4">
        <v>39</v>
      </c>
      <c r="Y4">
        <v>87.4</v>
      </c>
      <c r="AD4">
        <v>57.6</v>
      </c>
    </row>
    <row r="5" spans="1:30" x14ac:dyDescent="0.25">
      <c r="A5" t="s">
        <v>11</v>
      </c>
      <c r="E5" t="s">
        <v>11</v>
      </c>
      <c r="J5" t="s">
        <v>11</v>
      </c>
      <c r="O5" t="s">
        <v>11</v>
      </c>
      <c r="T5" t="s">
        <v>11</v>
      </c>
      <c r="Y5" t="s">
        <v>11</v>
      </c>
      <c r="AD5" t="s">
        <v>11</v>
      </c>
    </row>
    <row r="6" spans="1:30" x14ac:dyDescent="0.25">
      <c r="A6">
        <v>1.5</v>
      </c>
      <c r="E6">
        <v>1.5</v>
      </c>
      <c r="J6">
        <v>1.5</v>
      </c>
      <c r="O6">
        <v>1.5</v>
      </c>
      <c r="T6">
        <v>1.5</v>
      </c>
      <c r="Y6">
        <v>1.5</v>
      </c>
      <c r="AD6">
        <v>1.5</v>
      </c>
    </row>
    <row r="7" spans="1:30" x14ac:dyDescent="0.25">
      <c r="A7" t="s">
        <v>10</v>
      </c>
      <c r="E7" t="s">
        <v>10</v>
      </c>
      <c r="J7" t="s">
        <v>10</v>
      </c>
      <c r="O7" t="s">
        <v>10</v>
      </c>
      <c r="T7" t="s">
        <v>10</v>
      </c>
      <c r="Y7" t="s">
        <v>10</v>
      </c>
      <c r="AD7" t="s">
        <v>10</v>
      </c>
    </row>
    <row r="8" spans="1:30" x14ac:dyDescent="0.25">
      <c r="A8">
        <f>ROUNDUP(A4/A6,0)</f>
        <v>10</v>
      </c>
      <c r="E8">
        <f>ROUNDUP(E4/E6,0)</f>
        <v>31</v>
      </c>
      <c r="J8">
        <f>ROUNDUP(J4/J6,0)</f>
        <v>74</v>
      </c>
      <c r="O8">
        <f>ROUNDUP(O4/O6,0)</f>
        <v>0</v>
      </c>
      <c r="T8">
        <f>ROUNDUP(T4/T6,0)</f>
        <v>26</v>
      </c>
      <c r="Y8">
        <f>ROUNDUP(Y4/Y6,0)</f>
        <v>59</v>
      </c>
      <c r="AD8">
        <f>ROUNDUP(AD4/AD6,0)</f>
        <v>39</v>
      </c>
    </row>
    <row r="9" spans="1:30" x14ac:dyDescent="0.25">
      <c r="A9" t="s">
        <v>9</v>
      </c>
      <c r="E9" t="s">
        <v>9</v>
      </c>
      <c r="J9" t="s">
        <v>9</v>
      </c>
      <c r="O9" t="s">
        <v>9</v>
      </c>
      <c r="T9" t="s">
        <v>9</v>
      </c>
      <c r="Y9" t="s">
        <v>9</v>
      </c>
      <c r="AD9" t="s">
        <v>9</v>
      </c>
    </row>
    <row r="10" spans="1:30" x14ac:dyDescent="0.25">
      <c r="A10">
        <f>16.73-14.96</f>
        <v>1.7699999999999996</v>
      </c>
      <c r="C10" s="1" t="s">
        <v>8</v>
      </c>
      <c r="D10" s="1"/>
      <c r="E10">
        <v>0.94</v>
      </c>
      <c r="F10" s="1"/>
      <c r="G10" s="1"/>
      <c r="H10" s="1"/>
      <c r="I10" s="1"/>
      <c r="J10">
        <f>16.82-14.96</f>
        <v>1.8599999999999994</v>
      </c>
      <c r="L10" s="1"/>
      <c r="M10" s="1"/>
      <c r="N10" s="1"/>
      <c r="O10">
        <v>1.7150000000000001</v>
      </c>
      <c r="P10" s="1"/>
      <c r="Q10" s="1"/>
      <c r="R10" s="1"/>
      <c r="T10">
        <f>21.34-18.98</f>
        <v>2.3599999999999994</v>
      </c>
      <c r="V10" s="1"/>
      <c r="Y10">
        <f>27.48-26.28</f>
        <v>1.1999999999999993</v>
      </c>
      <c r="AD10">
        <f>34.5-33.18</f>
        <v>1.3200000000000003</v>
      </c>
    </row>
    <row r="11" spans="1:30" x14ac:dyDescent="0.25">
      <c r="A11" t="s">
        <v>7</v>
      </c>
      <c r="E11" t="s">
        <v>7</v>
      </c>
      <c r="J11" t="s">
        <v>7</v>
      </c>
      <c r="O11" t="s">
        <v>7</v>
      </c>
      <c r="T11" t="s">
        <v>7</v>
      </c>
      <c r="Y11" t="s">
        <v>7</v>
      </c>
      <c r="AD11" t="s">
        <v>7</v>
      </c>
    </row>
    <row r="12" spans="1:30" x14ac:dyDescent="0.25">
      <c r="A12">
        <v>16.760000000000002</v>
      </c>
      <c r="E12">
        <v>16.760000000000002</v>
      </c>
      <c r="J12">
        <v>16.760000000000002</v>
      </c>
      <c r="O12">
        <v>16.760000000000002</v>
      </c>
      <c r="T12">
        <v>16.760000000000002</v>
      </c>
      <c r="Y12">
        <v>16.760000000000002</v>
      </c>
      <c r="AD12">
        <v>16.760000000000002</v>
      </c>
    </row>
    <row r="13" spans="1:30" x14ac:dyDescent="0.25">
      <c r="A13" t="s">
        <v>6</v>
      </c>
      <c r="E13" t="s">
        <v>6</v>
      </c>
      <c r="J13" t="s">
        <v>6</v>
      </c>
      <c r="O13" t="s">
        <v>6</v>
      </c>
      <c r="T13" t="s">
        <v>6</v>
      </c>
      <c r="Y13" t="s">
        <v>6</v>
      </c>
      <c r="AD13" t="s">
        <v>6</v>
      </c>
    </row>
    <row r="14" spans="1:30" x14ac:dyDescent="0.25">
      <c r="A14">
        <f>A12*A10*A8</f>
        <v>296.65199999999993</v>
      </c>
      <c r="E14">
        <f>E12*E10*E8</f>
        <v>488.38640000000004</v>
      </c>
      <c r="J14">
        <f>J12*J10*J8</f>
        <v>2306.8463999999994</v>
      </c>
      <c r="O14">
        <f>O12*O10*O8</f>
        <v>0</v>
      </c>
      <c r="T14">
        <f>T12*T10*T8</f>
        <v>1028.3935999999999</v>
      </c>
      <c r="Y14">
        <f>Y12*Y10*Y8</f>
        <v>1186.6079999999995</v>
      </c>
      <c r="AD14">
        <f>AD12*AD10*AD8</f>
        <v>862.80480000000034</v>
      </c>
    </row>
    <row r="15" spans="1:30" x14ac:dyDescent="0.25">
      <c r="A15" t="s">
        <v>5</v>
      </c>
      <c r="E15" t="s">
        <v>5</v>
      </c>
      <c r="J15" t="s">
        <v>5</v>
      </c>
      <c r="O15" t="s">
        <v>5</v>
      </c>
      <c r="T15" t="s">
        <v>5</v>
      </c>
      <c r="Y15" t="s">
        <v>5</v>
      </c>
      <c r="AD15" t="s">
        <v>5</v>
      </c>
    </row>
    <row r="16" spans="1:30" x14ac:dyDescent="0.25">
      <c r="A16">
        <f>A12*A4</f>
        <v>238.99760000000001</v>
      </c>
      <c r="E16">
        <f>E12*E4</f>
        <v>775.51637360000018</v>
      </c>
      <c r="J16">
        <f>J12*J4</f>
        <v>1838.5720000000001</v>
      </c>
      <c r="O16">
        <f>O12*O4</f>
        <v>0</v>
      </c>
      <c r="T16">
        <f>T12*T4</f>
        <v>653.6400000000001</v>
      </c>
      <c r="Y16">
        <f>Y12*Y4</f>
        <v>1464.8240000000003</v>
      </c>
      <c r="AD16">
        <f>AD12*AD4</f>
        <v>965.37600000000009</v>
      </c>
    </row>
    <row r="17" spans="1:30" x14ac:dyDescent="0.25">
      <c r="A17" t="s">
        <v>4</v>
      </c>
      <c r="E17" t="s">
        <v>4</v>
      </c>
      <c r="J17" t="s">
        <v>4</v>
      </c>
      <c r="O17" t="s">
        <v>4</v>
      </c>
      <c r="T17" t="s">
        <v>4</v>
      </c>
      <c r="Y17" t="s">
        <v>4</v>
      </c>
      <c r="AD17" t="s">
        <v>4</v>
      </c>
    </row>
    <row r="18" spans="1:30" x14ac:dyDescent="0.25">
      <c r="A18">
        <f>A8</f>
        <v>10</v>
      </c>
      <c r="E18">
        <f>E8</f>
        <v>31</v>
      </c>
      <c r="J18">
        <f>J8</f>
        <v>74</v>
      </c>
      <c r="O18">
        <f>O8</f>
        <v>0</v>
      </c>
      <c r="T18">
        <f>T8</f>
        <v>26</v>
      </c>
      <c r="Y18">
        <f>Y8</f>
        <v>59</v>
      </c>
      <c r="AD18">
        <f>AD8</f>
        <v>39</v>
      </c>
    </row>
    <row r="19" spans="1:30" x14ac:dyDescent="0.25">
      <c r="A19" t="s">
        <v>3</v>
      </c>
      <c r="E19" t="s">
        <v>3</v>
      </c>
      <c r="J19" t="s">
        <v>3</v>
      </c>
      <c r="O19" t="s">
        <v>3</v>
      </c>
      <c r="T19" t="s">
        <v>3</v>
      </c>
      <c r="Y19" t="s">
        <v>3</v>
      </c>
      <c r="AD19" t="s">
        <v>3</v>
      </c>
    </row>
    <row r="20" spans="1:30" x14ac:dyDescent="0.25">
      <c r="A20">
        <f>0.2*0.2*0.01*7850</f>
        <v>3.1400000000000006</v>
      </c>
      <c r="E20">
        <f>0.2*0.2*0.01*7850</f>
        <v>3.1400000000000006</v>
      </c>
      <c r="J20">
        <f>0.2*0.2*0.01*7850</f>
        <v>3.1400000000000006</v>
      </c>
      <c r="O20">
        <f>0.2*0.2*0.01*7850</f>
        <v>3.1400000000000006</v>
      </c>
      <c r="T20">
        <f>0.2*0.2*0.01*7850</f>
        <v>3.1400000000000006</v>
      </c>
      <c r="Y20">
        <f>0.2*0.2*0.01*7850</f>
        <v>3.1400000000000006</v>
      </c>
      <c r="AD20">
        <f>0.2*0.2*0.01*7850</f>
        <v>3.1400000000000006</v>
      </c>
    </row>
    <row r="21" spans="1:30" x14ac:dyDescent="0.25">
      <c r="A21" t="s">
        <v>2</v>
      </c>
      <c r="E21" t="s">
        <v>2</v>
      </c>
      <c r="J21" t="s">
        <v>2</v>
      </c>
      <c r="O21" t="s">
        <v>2</v>
      </c>
      <c r="T21" t="s">
        <v>2</v>
      </c>
      <c r="Y21" t="s">
        <v>2</v>
      </c>
      <c r="AD21" t="s">
        <v>2</v>
      </c>
    </row>
    <row r="22" spans="1:30" x14ac:dyDescent="0.25">
      <c r="A22">
        <f>A20*A18</f>
        <v>31.400000000000006</v>
      </c>
      <c r="E22">
        <f>E20*E18</f>
        <v>97.340000000000018</v>
      </c>
      <c r="J22">
        <f>J20*J18</f>
        <v>232.36000000000004</v>
      </c>
      <c r="O22">
        <f>O20*O18</f>
        <v>0</v>
      </c>
      <c r="T22">
        <f>T20*T18</f>
        <v>81.640000000000015</v>
      </c>
      <c r="Y22">
        <f>Y20*Y18</f>
        <v>185.26000000000005</v>
      </c>
      <c r="AD22">
        <f>AD20*AD18</f>
        <v>122.46000000000002</v>
      </c>
    </row>
    <row r="23" spans="1:30" x14ac:dyDescent="0.25">
      <c r="A23" t="s">
        <v>1</v>
      </c>
      <c r="E23" t="s">
        <v>1</v>
      </c>
      <c r="J23" t="s">
        <v>1</v>
      </c>
      <c r="O23" t="s">
        <v>1</v>
      </c>
      <c r="T23" t="s">
        <v>1</v>
      </c>
      <c r="Y23" t="s">
        <v>1</v>
      </c>
      <c r="AD23" t="s">
        <v>1</v>
      </c>
    </row>
    <row r="24" spans="1:30" x14ac:dyDescent="0.25">
      <c r="A24">
        <f>4</f>
        <v>4</v>
      </c>
      <c r="E24">
        <f>4</f>
        <v>4</v>
      </c>
      <c r="J24">
        <f>4</f>
        <v>4</v>
      </c>
      <c r="O24">
        <f>4</f>
        <v>4</v>
      </c>
      <c r="T24">
        <f>4</f>
        <v>4</v>
      </c>
      <c r="Y24">
        <f>4</f>
        <v>4</v>
      </c>
      <c r="AD24">
        <f>4</f>
        <v>4</v>
      </c>
    </row>
    <row r="25" spans="1:30" x14ac:dyDescent="0.25">
      <c r="A25" t="s">
        <v>0</v>
      </c>
      <c r="E25" t="s">
        <v>0</v>
      </c>
      <c r="J25" t="s">
        <v>0</v>
      </c>
      <c r="O25" t="s">
        <v>0</v>
      </c>
      <c r="T25" t="s">
        <v>0</v>
      </c>
      <c r="Y25" t="s">
        <v>0</v>
      </c>
      <c r="AD25" t="s">
        <v>0</v>
      </c>
    </row>
    <row r="26" spans="1:30" x14ac:dyDescent="0.25">
      <c r="A26">
        <f>A24*A18</f>
        <v>40</v>
      </c>
      <c r="E26">
        <f>E24*E18</f>
        <v>124</v>
      </c>
      <c r="J26">
        <f>J24*J18</f>
        <v>296</v>
      </c>
      <c r="O26">
        <f>O24*O18</f>
        <v>0</v>
      </c>
      <c r="T26">
        <f>T24*T18</f>
        <v>104</v>
      </c>
      <c r="Y26">
        <f>Y24*Y18</f>
        <v>236</v>
      </c>
      <c r="AD26">
        <f>AD24*AD18</f>
        <v>156</v>
      </c>
    </row>
    <row r="30" spans="1:30" x14ac:dyDescent="0.25">
      <c r="A30">
        <f>A14+A16+A22+E14+E16+E22+J14+J16+J22+O14+O16+O22+T14+T16+T22+Y14+Y16+Y22+AD14+AD16+AD22</f>
        <v>12857.077173600001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ВОР Ме каркас, ограждения</vt:lpstr>
      <vt:lpstr>ВОР Кровля</vt:lpstr>
      <vt:lpstr>Примыкание к парапету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Водкина Александра Викторовна</dc:creator>
  <cp:lastModifiedBy>Ваулина Марина Максимовна</cp:lastModifiedBy>
  <dcterms:created xsi:type="dcterms:W3CDTF">2025-07-10T11:22:03Z</dcterms:created>
  <dcterms:modified xsi:type="dcterms:W3CDTF">2025-07-24T07:34:58Z</dcterms:modified>
</cp:coreProperties>
</file>