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4B73DE93-C9A4-4B41-BFF3-95512C0EAC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ружные ограждения" sheetId="9" r:id="rId1"/>
  </sheets>
  <calcPr calcId="191029"/>
</workbook>
</file>

<file path=xl/calcChain.xml><?xml version="1.0" encoding="utf-8"?>
<calcChain xmlns="http://schemas.openxmlformats.org/spreadsheetml/2006/main">
  <c r="AE18" i="9" l="1"/>
  <c r="AD17" i="9"/>
  <c r="AB17" i="9"/>
  <c r="Z17" i="9"/>
  <c r="X17" i="9"/>
  <c r="V17" i="9"/>
  <c r="T17" i="9"/>
  <c r="R17" i="9"/>
  <c r="P17" i="9"/>
  <c r="N17" i="9"/>
  <c r="L17" i="9"/>
  <c r="J17" i="9"/>
  <c r="H17" i="9"/>
  <c r="AE16" i="9"/>
  <c r="AD16" i="9"/>
  <c r="AB16" i="9"/>
  <c r="AA16" i="9"/>
  <c r="V16" i="9"/>
  <c r="T16" i="9"/>
  <c r="P16" i="9"/>
  <c r="N16" i="9"/>
  <c r="L16" i="9"/>
  <c r="K16" i="9"/>
  <c r="J16" i="9"/>
  <c r="H16" i="9"/>
  <c r="AE15" i="9"/>
  <c r="AD15" i="9"/>
  <c r="AB15" i="9"/>
  <c r="AA15" i="9"/>
  <c r="R15" i="9"/>
  <c r="P15" i="9"/>
  <c r="N15" i="9"/>
  <c r="L15" i="9"/>
  <c r="K15" i="9"/>
  <c r="J15" i="9"/>
  <c r="H15" i="9"/>
  <c r="AE14" i="9"/>
  <c r="AD14" i="9"/>
  <c r="AB14" i="9"/>
  <c r="AA14" i="9"/>
  <c r="N14" i="9"/>
  <c r="M14" i="9"/>
  <c r="K14" i="9"/>
  <c r="L14" i="9"/>
  <c r="I14" i="9"/>
  <c r="J14" i="9"/>
  <c r="H14" i="9"/>
  <c r="G14" i="9"/>
  <c r="AE13" i="9"/>
  <c r="AD13" i="9"/>
  <c r="AB13" i="9"/>
  <c r="AA13" i="9"/>
  <c r="N13" i="9"/>
  <c r="M13" i="9"/>
  <c r="L13" i="9"/>
  <c r="K13" i="9"/>
  <c r="J13" i="9"/>
  <c r="I13" i="9"/>
  <c r="H13" i="9"/>
  <c r="G13" i="9"/>
  <c r="H7" i="9"/>
  <c r="W10" i="9"/>
  <c r="X10" i="9" s="1"/>
  <c r="K10" i="9"/>
  <c r="L10" i="9" s="1"/>
  <c r="I10" i="9"/>
  <c r="J10" i="9" s="1"/>
  <c r="G10" i="9"/>
  <c r="H10" i="9" s="1"/>
  <c r="X9" i="9"/>
  <c r="W9" i="9"/>
  <c r="K9" i="9"/>
  <c r="L9" i="9" s="1"/>
  <c r="I9" i="9"/>
  <c r="J9" i="9" s="1"/>
  <c r="G9" i="9"/>
  <c r="H9" i="9" s="1"/>
  <c r="AD8" i="9"/>
  <c r="AA8" i="9"/>
  <c r="AB8" i="9" s="1"/>
  <c r="AD7" i="9"/>
  <c r="L8" i="9"/>
  <c r="AA7" i="9"/>
  <c r="AB7" i="9" s="1"/>
  <c r="L7" i="9"/>
  <c r="J7" i="9"/>
  <c r="B17" i="9"/>
  <c r="E17" i="9"/>
  <c r="D17" i="9"/>
  <c r="C17" i="9"/>
  <c r="K8" i="9"/>
  <c r="I8" i="9"/>
  <c r="J8" i="9" s="1"/>
  <c r="G8" i="9"/>
  <c r="H8" i="9" s="1"/>
  <c r="K7" i="9"/>
  <c r="I7" i="9"/>
  <c r="G7" i="9"/>
  <c r="Z12" i="9"/>
  <c r="X12" i="9"/>
  <c r="L11" i="9"/>
  <c r="J11" i="9"/>
  <c r="W12" i="9"/>
  <c r="Y12" i="9"/>
  <c r="K12" i="9"/>
  <c r="L12" i="9" s="1"/>
  <c r="I12" i="9"/>
  <c r="J12" i="9" s="1"/>
  <c r="G12" i="9"/>
  <c r="Y11" i="9"/>
  <c r="Z11" i="9" s="1"/>
  <c r="W11" i="9"/>
  <c r="X11" i="9" s="1"/>
  <c r="K11" i="9"/>
  <c r="I11" i="9"/>
  <c r="G11" i="9"/>
  <c r="H11" i="9" s="1"/>
  <c r="H12" i="9" l="1"/>
  <c r="AC16" i="9"/>
  <c r="F16" i="9"/>
  <c r="AC15" i="9"/>
  <c r="Y10" i="9"/>
  <c r="Z10" i="9" s="1"/>
  <c r="Y9" i="9"/>
  <c r="Z9" i="9" s="1"/>
  <c r="F15" i="9" l="1"/>
  <c r="F17" i="9" s="1"/>
  <c r="O16" i="9"/>
  <c r="O15" i="9"/>
  <c r="M16" i="9"/>
  <c r="M12" i="9"/>
  <c r="M11" i="9"/>
  <c r="M10" i="9"/>
  <c r="M9" i="9"/>
  <c r="M8" i="9"/>
  <c r="M7" i="9"/>
  <c r="M15" i="9"/>
  <c r="N7" i="9" l="1"/>
  <c r="AE7" i="9"/>
  <c r="N8" i="9"/>
  <c r="AE8" i="9"/>
  <c r="AE9" i="9"/>
  <c r="N9" i="9"/>
  <c r="N10" i="9"/>
  <c r="AE10" i="9"/>
  <c r="N11" i="9"/>
  <c r="AE11" i="9"/>
  <c r="N12" i="9"/>
  <c r="AE12" i="9"/>
  <c r="I16" i="9"/>
  <c r="G16" i="9"/>
  <c r="I15" i="9"/>
  <c r="G15" i="9"/>
  <c r="AE20" i="9" l="1"/>
  <c r="AE21" i="9" s="1"/>
  <c r="AE22" i="9" l="1"/>
</calcChain>
</file>

<file path=xl/sharedStrings.xml><?xml version="1.0" encoding="utf-8"?>
<sst xmlns="http://schemas.openxmlformats.org/spreadsheetml/2006/main" count="74" uniqueCount="51">
  <si>
    <t>Наименование</t>
  </si>
  <si>
    <t>Конструкции</t>
  </si>
  <si>
    <t>Итого</t>
  </si>
  <si>
    <t>Элементы ограждений</t>
  </si>
  <si>
    <t>Примечания:</t>
  </si>
  <si>
    <t>1. Ограждения выполнить согласно ГОСТ 25772-2021.</t>
  </si>
  <si>
    <t>всего</t>
  </si>
  <si>
    <t>тонн</t>
  </si>
  <si>
    <t>Итого (т)
на 1 шт</t>
  </si>
  <si>
    <t>лист 
в РД</t>
  </si>
  <si>
    <t>ОГ-1.1</t>
  </si>
  <si>
    <t>ОГ-1.2</t>
  </si>
  <si>
    <t>ОГ-2.1</t>
  </si>
  <si>
    <t>ОГ-2.2</t>
  </si>
  <si>
    <t>ОГ-3.1</t>
  </si>
  <si>
    <t>ОГ-3.2</t>
  </si>
  <si>
    <t>Калитка</t>
  </si>
  <si>
    <t>Ворота</t>
  </si>
  <si>
    <r>
      <t xml:space="preserve">Труба
 D 70х2 мм (т)
</t>
    </r>
    <r>
      <rPr>
        <sz val="12"/>
        <rFont val="Times New Roman"/>
        <family val="1"/>
        <charset val="204"/>
      </rPr>
      <t xml:space="preserve"> ГОСТ 10704-91</t>
    </r>
  </si>
  <si>
    <r>
      <t xml:space="preserve">Шар пустотелый D 100мм (т)            </t>
    </r>
    <r>
      <rPr>
        <sz val="12"/>
        <rFont val="Times New Roman"/>
        <family val="1"/>
        <charset val="204"/>
      </rPr>
      <t>SK02.100</t>
    </r>
  </si>
  <si>
    <r>
      <t xml:space="preserve">22х140 мм (т)       </t>
    </r>
    <r>
      <rPr>
        <sz val="12"/>
        <rFont val="Times New Roman"/>
        <family val="1"/>
        <charset val="204"/>
      </rPr>
      <t xml:space="preserve">Петля для ворот и калитки  </t>
    </r>
    <r>
      <rPr>
        <b/>
        <sz val="12"/>
        <rFont val="Times New Roman"/>
        <family val="1"/>
        <charset val="204"/>
      </rPr>
      <t xml:space="preserve">       </t>
    </r>
  </si>
  <si>
    <t>л.3</t>
  </si>
  <si>
    <t>л.4</t>
  </si>
  <si>
    <t>л.5</t>
  </si>
  <si>
    <t>л.6</t>
  </si>
  <si>
    <t>л.7</t>
  </si>
  <si>
    <t>3. Все ограждения окрасить масляной краской за 2 раза, финишная окраска - RAL 9017.</t>
  </si>
  <si>
    <t>Засов горизонтальный (шт)</t>
  </si>
  <si>
    <t>Засов вертикальный (шт)</t>
  </si>
  <si>
    <t>на 1 огр.</t>
  </si>
  <si>
    <t>Таблица №1</t>
  </si>
  <si>
    <t>Общая длина
п.м.</t>
  </si>
  <si>
    <t>Кол-во, шт.</t>
  </si>
  <si>
    <r>
      <t xml:space="preserve">Труба кв. 30х30х3,0 мм (т) 
</t>
    </r>
    <r>
      <rPr>
        <sz val="12"/>
        <rFont val="Times New Roman"/>
        <family val="1"/>
        <charset val="204"/>
      </rPr>
      <t>ГОСТ 8639-82</t>
    </r>
  </si>
  <si>
    <r>
      <t xml:space="preserve">Труба кв. 20х20х2,0 мм (т) 
</t>
    </r>
    <r>
      <rPr>
        <sz val="12"/>
        <rFont val="Times New Roman"/>
        <family val="1"/>
        <charset val="204"/>
      </rPr>
      <t>ГОСТ 8639-82</t>
    </r>
  </si>
  <si>
    <t>на плане обозначения зеленым цветом, шт.</t>
  </si>
  <si>
    <t>на плане обозначения желтым цветом, шт.</t>
  </si>
  <si>
    <r>
      <t xml:space="preserve">Магнитный замок (шт)
</t>
    </r>
    <r>
      <rPr>
        <sz val="12"/>
        <rFont val="Times New Roman"/>
        <family val="1"/>
        <charset val="204"/>
      </rPr>
      <t>Домофон</t>
    </r>
  </si>
  <si>
    <t>анкер-гильза HLS 10х100/68 (шт) (крепление стойки огр.)</t>
  </si>
  <si>
    <r>
      <t xml:space="preserve">пластина 150х150х4 (т) (крепление стойки огр.)
</t>
    </r>
    <r>
      <rPr>
        <sz val="12"/>
        <rFont val="Times New Roman"/>
        <family val="1"/>
        <charset val="204"/>
      </rPr>
      <t>ГОСТ 19903-2015</t>
    </r>
  </si>
  <si>
    <r>
      <t xml:space="preserve">пластина 250х250х10 (т) (крепление стойки огр.)
</t>
    </r>
    <r>
      <rPr>
        <sz val="12"/>
        <rFont val="Times New Roman"/>
        <family val="1"/>
        <charset val="204"/>
      </rPr>
      <t>ГОСТ 19903-2015</t>
    </r>
  </si>
  <si>
    <t>Анкер DRM16 (шт) (крепление стойки огр.)</t>
  </si>
  <si>
    <t>кг./1п.м.</t>
  </si>
  <si>
    <t>2. Сварку металлических элементов производить электродами Э-42 по ГОСТ 9467-75.
    Сварные швы тщательно зачистить от ржавчины и окалины.</t>
  </si>
  <si>
    <r>
      <t xml:space="preserve">Наружные ограждения территории в границах 1 очереди застройки 
</t>
    </r>
    <r>
      <rPr>
        <u/>
        <sz val="12"/>
        <rFont val="Times New Roman"/>
        <family val="1"/>
        <charset val="204"/>
      </rPr>
      <t>л.2-8 РД 6879/6-ГП изм.2 от 02.06.2025г.</t>
    </r>
  </si>
  <si>
    <t>Общий вес</t>
  </si>
  <si>
    <t>на плане обозначения розовым цветом, шт.</t>
  </si>
  <si>
    <t>ОГ-4.1</t>
  </si>
  <si>
    <t>ОГ-4.2</t>
  </si>
  <si>
    <t>на плане обозначения оранжевым цветом, шт.</t>
  </si>
  <si>
    <t>л.8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</si>
</sst>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#,##0.000"/>
    <numFmt numFmtId="165" formatCode="#,##0.00000"/>
    <numFmt numFmtId="166" formatCode="0.0000"/>
    <numFmt numFmtId="167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scheme val="minor"/>
    </font>
    <font>
      <i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charset val="204"/>
      <scheme val="minor"/>
    </font>
    <font>
      <i/>
      <sz val="14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9" tint="-0.249977111117893"/>
      <name val="Times New Roman"/>
      <family val="1"/>
      <charset val="204"/>
    </font>
    <font>
      <sz val="11"/>
      <color theme="9" tint="-0.249977111117893"/>
      <name val="Times New Roman"/>
      <family val="1"/>
      <charset val="204"/>
    </font>
    <font>
      <i/>
      <sz val="12"/>
      <color theme="9" tint="-0.249977111117893"/>
      <name val="Times New Roman"/>
      <family val="1"/>
      <charset val="204"/>
    </font>
    <font>
      <sz val="11"/>
      <color theme="9" tint="-0.249977111117893"/>
      <name val="Calibri"/>
      <family val="2"/>
      <scheme val="minor"/>
    </font>
    <font>
      <i/>
      <u/>
      <sz val="11"/>
      <color theme="9" tint="-0.249977111117893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i/>
      <sz val="14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7" fillId="0" borderId="0" xfId="0" applyFont="1" applyFill="1" applyAlignment="1">
      <alignment vertical="center"/>
    </xf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5" fillId="0" borderId="0" xfId="0" applyFont="1"/>
    <xf numFmtId="164" fontId="12" fillId="0" borderId="0" xfId="0" applyNumberFormat="1" applyFont="1"/>
    <xf numFmtId="164" fontId="13" fillId="0" borderId="0" xfId="0" applyNumberFormat="1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20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21" fillId="0" borderId="7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horizontal="center" vertical="center"/>
    </xf>
    <xf numFmtId="164" fontId="9" fillId="0" borderId="24" xfId="0" applyNumberFormat="1" applyFont="1" applyFill="1" applyBorder="1" applyAlignment="1">
      <alignment horizontal="center" vertical="center"/>
    </xf>
    <xf numFmtId="164" fontId="3" fillId="3" borderId="25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164" fontId="9" fillId="3" borderId="25" xfId="0" applyNumberFormat="1" applyFont="1" applyFill="1" applyBorder="1" applyAlignment="1">
      <alignment horizontal="center" vertical="center"/>
    </xf>
    <xf numFmtId="3" fontId="9" fillId="3" borderId="25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/>
    </xf>
    <xf numFmtId="166" fontId="9" fillId="0" borderId="24" xfId="0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165" fontId="5" fillId="0" borderId="21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2" fontId="21" fillId="2" borderId="8" xfId="0" applyNumberFormat="1" applyFont="1" applyFill="1" applyBorder="1" applyAlignment="1">
      <alignment vertical="center"/>
    </xf>
    <xf numFmtId="0" fontId="21" fillId="2" borderId="8" xfId="0" applyFont="1" applyFill="1" applyBorder="1" applyAlignment="1">
      <alignment vertical="center"/>
    </xf>
    <xf numFmtId="165" fontId="22" fillId="0" borderId="0" xfId="0" applyNumberFormat="1" applyFont="1"/>
    <xf numFmtId="0" fontId="9" fillId="0" borderId="0" xfId="0" applyFont="1" applyAlignment="1">
      <alignment horizontal="center" vertical="center"/>
    </xf>
    <xf numFmtId="2" fontId="8" fillId="0" borderId="0" xfId="0" applyNumberFormat="1" applyFont="1"/>
    <xf numFmtId="2" fontId="8" fillId="0" borderId="0" xfId="0" applyNumberFormat="1" applyFont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1" fontId="24" fillId="3" borderId="3" xfId="0" applyNumberFormat="1" applyFont="1" applyFill="1" applyBorder="1" applyAlignment="1">
      <alignment horizontal="center" vertical="center"/>
    </xf>
    <xf numFmtId="164" fontId="24" fillId="3" borderId="3" xfId="0" applyNumberFormat="1" applyFont="1" applyFill="1" applyBorder="1" applyAlignment="1">
      <alignment horizontal="center" vertical="center"/>
    </xf>
    <xf numFmtId="164" fontId="23" fillId="3" borderId="3" xfId="0" applyNumberFormat="1" applyFont="1" applyFill="1" applyBorder="1" applyAlignment="1">
      <alignment horizontal="center" vertical="center"/>
    </xf>
    <xf numFmtId="49" fontId="23" fillId="3" borderId="3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vertical="center"/>
    </xf>
    <xf numFmtId="2" fontId="26" fillId="2" borderId="8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64" fontId="9" fillId="0" borderId="23" xfId="0" applyNumberFormat="1" applyFont="1" applyFill="1" applyBorder="1" applyAlignment="1">
      <alignment horizontal="center" vertical="center"/>
    </xf>
    <xf numFmtId="164" fontId="27" fillId="0" borderId="0" xfId="0" applyNumberFormat="1" applyFont="1"/>
    <xf numFmtId="0" fontId="27" fillId="0" borderId="0" xfId="0" applyFont="1"/>
    <xf numFmtId="0" fontId="8" fillId="3" borderId="2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4" fontId="27" fillId="0" borderId="0" xfId="0" applyNumberFormat="1" applyFont="1" applyFill="1"/>
    <xf numFmtId="0" fontId="27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5" fillId="3" borderId="4" xfId="0" applyFont="1" applyFill="1" applyBorder="1"/>
    <xf numFmtId="0" fontId="23" fillId="3" borderId="4" xfId="0" applyFont="1" applyFill="1" applyBorder="1" applyAlignment="1">
      <alignment vertical="center"/>
    </xf>
  </cellXfs>
  <cellStyles count="2">
    <cellStyle name="Денежный 2" xfId="1" xr:uid="{00000000-0005-0000-0000-000000000000}"/>
    <cellStyle name="Обычный" xfId="0" builtinId="0"/>
  </cellStyles>
  <dxfs count="0"/>
  <tableStyles count="0" defaultTableStyle="TableStyleMedium2" defaultPivotStyle="PivotStyleMedium9"/>
  <colors>
    <mruColors>
      <color rgb="FFD3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zoomScale="70" zoomScaleNormal="70" zoomScaleSheetLayoutView="70" workbookViewId="0">
      <selection activeCell="L21" sqref="L21"/>
    </sheetView>
  </sheetViews>
  <sheetFormatPr defaultRowHeight="15.75" x14ac:dyDescent="0.25"/>
  <cols>
    <col min="1" max="1" width="20" customWidth="1"/>
    <col min="2" max="2" width="20.140625" customWidth="1"/>
    <col min="3" max="3" width="22.7109375" customWidth="1"/>
    <col min="4" max="5" width="21" customWidth="1"/>
    <col min="6" max="6" width="8.7109375" customWidth="1"/>
    <col min="7" max="7" width="9.85546875" bestFit="1" customWidth="1"/>
    <col min="8" max="8" width="9.7109375" customWidth="1"/>
    <col min="9" max="9" width="9.85546875" bestFit="1" customWidth="1"/>
    <col min="10" max="12" width="9.7109375" customWidth="1"/>
    <col min="13" max="13" width="11.5703125" customWidth="1"/>
    <col min="14" max="22" width="9.7109375" customWidth="1"/>
    <col min="23" max="23" width="13" customWidth="1"/>
    <col min="24" max="24" width="14.28515625" customWidth="1"/>
    <col min="25" max="25" width="13" customWidth="1"/>
    <col min="26" max="27" width="13.85546875" customWidth="1"/>
    <col min="28" max="28" width="13.42578125" customWidth="1"/>
    <col min="29" max="30" width="13" customWidth="1"/>
    <col min="31" max="31" width="14.42578125" customWidth="1"/>
    <col min="32" max="32" width="10.28515625" style="4" customWidth="1"/>
    <col min="33" max="33" width="8.85546875" style="5"/>
  </cols>
  <sheetData>
    <row r="1" spans="1:34" ht="27" customHeight="1" x14ac:dyDescent="0.25">
      <c r="AE1" s="63" t="s">
        <v>30</v>
      </c>
      <c r="AF1" s="63"/>
      <c r="AG1" s="11"/>
      <c r="AH1" s="11"/>
    </row>
    <row r="2" spans="1:34" ht="40.9" customHeight="1" thickBot="1" x14ac:dyDescent="0.3">
      <c r="A2" s="61" t="s">
        <v>44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4" ht="19.899999999999999" customHeight="1" thickBot="1" x14ac:dyDescent="0.3">
      <c r="A3" s="73" t="s">
        <v>1</v>
      </c>
      <c r="B3" s="74"/>
      <c r="C3" s="74"/>
      <c r="D3" s="74"/>
      <c r="E3" s="74"/>
      <c r="F3" s="75"/>
      <c r="G3" s="91" t="s">
        <v>3</v>
      </c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59"/>
      <c r="AE3" s="64" t="s">
        <v>8</v>
      </c>
      <c r="AF3" s="64" t="s">
        <v>9</v>
      </c>
      <c r="AG3" s="8"/>
    </row>
    <row r="4" spans="1:34" ht="51.6" customHeight="1" thickBot="1" x14ac:dyDescent="0.3">
      <c r="A4" s="76"/>
      <c r="B4" s="77"/>
      <c r="C4" s="77"/>
      <c r="D4" s="77"/>
      <c r="E4" s="77"/>
      <c r="F4" s="78"/>
      <c r="G4" s="58" t="s">
        <v>18</v>
      </c>
      <c r="H4" s="66"/>
      <c r="I4" s="58" t="s">
        <v>33</v>
      </c>
      <c r="J4" s="59"/>
      <c r="K4" s="58" t="s">
        <v>34</v>
      </c>
      <c r="L4" s="59"/>
      <c r="M4" s="58" t="s">
        <v>19</v>
      </c>
      <c r="N4" s="66"/>
      <c r="O4" s="58" t="s">
        <v>20</v>
      </c>
      <c r="P4" s="66"/>
      <c r="Q4" s="58" t="s">
        <v>37</v>
      </c>
      <c r="R4" s="66"/>
      <c r="S4" s="58" t="s">
        <v>27</v>
      </c>
      <c r="T4" s="66"/>
      <c r="U4" s="58" t="s">
        <v>28</v>
      </c>
      <c r="V4" s="59"/>
      <c r="W4" s="58" t="s">
        <v>39</v>
      </c>
      <c r="X4" s="59"/>
      <c r="Y4" s="58" t="s">
        <v>38</v>
      </c>
      <c r="Z4" s="59"/>
      <c r="AA4" s="58" t="s">
        <v>40</v>
      </c>
      <c r="AB4" s="59"/>
      <c r="AC4" s="58" t="s">
        <v>41</v>
      </c>
      <c r="AD4" s="59"/>
      <c r="AE4" s="68"/>
      <c r="AF4" s="65"/>
      <c r="AG4" s="8"/>
    </row>
    <row r="5" spans="1:34" ht="19.899999999999999" customHeight="1" thickBot="1" x14ac:dyDescent="0.3">
      <c r="A5" s="82" t="s">
        <v>0</v>
      </c>
      <c r="B5" s="97" t="s">
        <v>32</v>
      </c>
      <c r="C5" s="98"/>
      <c r="D5" s="98"/>
      <c r="E5" s="99"/>
      <c r="F5" s="79" t="s">
        <v>31</v>
      </c>
      <c r="G5" s="56" t="s">
        <v>29</v>
      </c>
      <c r="H5" s="57" t="s">
        <v>6</v>
      </c>
      <c r="I5" s="56" t="s">
        <v>29</v>
      </c>
      <c r="J5" s="57" t="s">
        <v>6</v>
      </c>
      <c r="K5" s="56" t="s">
        <v>29</v>
      </c>
      <c r="L5" s="57" t="s">
        <v>6</v>
      </c>
      <c r="M5" s="56" t="s">
        <v>29</v>
      </c>
      <c r="N5" s="57" t="s">
        <v>6</v>
      </c>
      <c r="O5" s="56" t="s">
        <v>29</v>
      </c>
      <c r="P5" s="57" t="s">
        <v>6</v>
      </c>
      <c r="Q5" s="56" t="s">
        <v>29</v>
      </c>
      <c r="R5" s="57" t="s">
        <v>6</v>
      </c>
      <c r="S5" s="56" t="s">
        <v>29</v>
      </c>
      <c r="T5" s="57" t="s">
        <v>6</v>
      </c>
      <c r="U5" s="56" t="s">
        <v>29</v>
      </c>
      <c r="V5" s="57" t="s">
        <v>6</v>
      </c>
      <c r="W5" s="56" t="s">
        <v>29</v>
      </c>
      <c r="X5" s="57" t="s">
        <v>6</v>
      </c>
      <c r="Y5" s="56" t="s">
        <v>29</v>
      </c>
      <c r="Z5" s="57" t="s">
        <v>6</v>
      </c>
      <c r="AA5" s="56" t="s">
        <v>29</v>
      </c>
      <c r="AB5" s="57" t="s">
        <v>6</v>
      </c>
      <c r="AC5" s="56" t="s">
        <v>29</v>
      </c>
      <c r="AD5" s="57" t="s">
        <v>6</v>
      </c>
      <c r="AE5" s="68"/>
      <c r="AF5" s="65"/>
      <c r="AG5" s="8"/>
    </row>
    <row r="6" spans="1:34" ht="39" customHeight="1" x14ac:dyDescent="0.25">
      <c r="A6" s="83"/>
      <c r="B6" s="28" t="s">
        <v>35</v>
      </c>
      <c r="C6" s="28" t="s">
        <v>49</v>
      </c>
      <c r="D6" s="96" t="s">
        <v>46</v>
      </c>
      <c r="E6" s="96" t="s">
        <v>36</v>
      </c>
      <c r="F6" s="80"/>
      <c r="G6" s="56"/>
      <c r="H6" s="57"/>
      <c r="I6" s="56"/>
      <c r="J6" s="57"/>
      <c r="K6" s="56"/>
      <c r="L6" s="57"/>
      <c r="M6" s="56"/>
      <c r="N6" s="57"/>
      <c r="O6" s="56"/>
      <c r="P6" s="57"/>
      <c r="Q6" s="56"/>
      <c r="R6" s="57"/>
      <c r="S6" s="56"/>
      <c r="T6" s="57"/>
      <c r="U6" s="56"/>
      <c r="V6" s="57"/>
      <c r="W6" s="56"/>
      <c r="X6" s="57"/>
      <c r="Y6" s="56"/>
      <c r="Z6" s="57"/>
      <c r="AA6" s="56"/>
      <c r="AB6" s="57"/>
      <c r="AC6" s="56"/>
      <c r="AD6" s="57"/>
      <c r="AE6" s="69"/>
      <c r="AF6" s="65"/>
      <c r="AG6" s="8"/>
    </row>
    <row r="7" spans="1:34" s="103" customFormat="1" ht="20.25" customHeight="1" x14ac:dyDescent="0.25">
      <c r="A7" s="20" t="s">
        <v>10</v>
      </c>
      <c r="B7" s="29"/>
      <c r="C7" s="29">
        <v>13</v>
      </c>
      <c r="D7" s="26"/>
      <c r="E7" s="26"/>
      <c r="F7" s="81">
        <v>63.4</v>
      </c>
      <c r="G7" s="32">
        <f>3.35*2.45/1000</f>
        <v>8.2075000000000013E-3</v>
      </c>
      <c r="H7" s="33">
        <f>G7*C7</f>
        <v>0.10669750000000001</v>
      </c>
      <c r="I7" s="32">
        <f>2.42*12.4/1000</f>
        <v>3.0008E-2</v>
      </c>
      <c r="J7" s="33">
        <f>I7*C7</f>
        <v>0.39010400000000001</v>
      </c>
      <c r="K7" s="32">
        <f>1.075*(30.87+7.08)/1000</f>
        <v>4.0796249999999999E-2</v>
      </c>
      <c r="L7" s="33">
        <f>K7*C7</f>
        <v>0.53035124999999994</v>
      </c>
      <c r="M7" s="35">
        <f t="shared" ref="M7:M14" si="0">0.225*1/1000</f>
        <v>2.2499999999999999E-4</v>
      </c>
      <c r="N7" s="36">
        <f>M7*C7</f>
        <v>2.9250000000000001E-3</v>
      </c>
      <c r="O7" s="93"/>
      <c r="P7" s="33"/>
      <c r="Q7" s="93"/>
      <c r="R7" s="33"/>
      <c r="S7" s="93"/>
      <c r="T7" s="33"/>
      <c r="U7" s="42"/>
      <c r="V7" s="43"/>
      <c r="W7" s="42"/>
      <c r="X7" s="46"/>
      <c r="Y7" s="42"/>
      <c r="Z7" s="43"/>
      <c r="AA7" s="32">
        <f>(1*4.91)/1000</f>
        <v>4.9100000000000003E-3</v>
      </c>
      <c r="AB7" s="36">
        <f>AA7*C7</f>
        <v>6.3829999999999998E-2</v>
      </c>
      <c r="AC7" s="42">
        <v>4</v>
      </c>
      <c r="AD7" s="45">
        <f>AC7*C7</f>
        <v>52</v>
      </c>
      <c r="AE7" s="48">
        <f>G7+I7+K7+M7+AA7</f>
        <v>8.4146749999999992E-2</v>
      </c>
      <c r="AF7" s="67" t="s">
        <v>23</v>
      </c>
      <c r="AG7" s="102"/>
    </row>
    <row r="8" spans="1:34" s="103" customFormat="1" ht="20.25" customHeight="1" x14ac:dyDescent="0.25">
      <c r="A8" s="20" t="s">
        <v>11</v>
      </c>
      <c r="B8" s="29"/>
      <c r="C8" s="29">
        <v>13</v>
      </c>
      <c r="D8" s="26"/>
      <c r="E8" s="26"/>
      <c r="F8" s="81"/>
      <c r="G8" s="32">
        <f>3.35*2.45/1000</f>
        <v>8.2075000000000013E-3</v>
      </c>
      <c r="H8" s="33">
        <f>G8*C8</f>
        <v>0.10669750000000001</v>
      </c>
      <c r="I8" s="32">
        <f>2.42*12.54/1000</f>
        <v>3.0346799999999997E-2</v>
      </c>
      <c r="J8" s="33">
        <f>I8*C8</f>
        <v>0.39450839999999998</v>
      </c>
      <c r="K8" s="32">
        <f>1.075*(32.55+11.2)/1000</f>
        <v>4.7031249999999997E-2</v>
      </c>
      <c r="L8" s="33">
        <f>K8*C8</f>
        <v>0.61140624999999993</v>
      </c>
      <c r="M8" s="35">
        <f t="shared" si="0"/>
        <v>2.2499999999999999E-4</v>
      </c>
      <c r="N8" s="36">
        <f>M8*C8</f>
        <v>2.9250000000000001E-3</v>
      </c>
      <c r="O8" s="93"/>
      <c r="P8" s="33"/>
      <c r="Q8" s="93"/>
      <c r="R8" s="33"/>
      <c r="S8" s="93"/>
      <c r="T8" s="33"/>
      <c r="U8" s="42"/>
      <c r="V8" s="43"/>
      <c r="W8" s="42"/>
      <c r="X8" s="46"/>
      <c r="Y8" s="42"/>
      <c r="Z8" s="43"/>
      <c r="AA8" s="32">
        <f>(1*4.91)/1000</f>
        <v>4.9100000000000003E-3</v>
      </c>
      <c r="AB8" s="36">
        <f>AA8*C8</f>
        <v>6.3829999999999998E-2</v>
      </c>
      <c r="AC8" s="42">
        <v>4</v>
      </c>
      <c r="AD8" s="45">
        <f>AC8*C8</f>
        <v>52</v>
      </c>
      <c r="AE8" s="48">
        <f>G8+I8+K8+M8+AA8</f>
        <v>9.0720549999999997E-2</v>
      </c>
      <c r="AF8" s="67"/>
      <c r="AG8" s="102"/>
    </row>
    <row r="9" spans="1:34" s="103" customFormat="1" ht="20.25" customHeight="1" x14ac:dyDescent="0.25">
      <c r="A9" s="20" t="s">
        <v>12</v>
      </c>
      <c r="B9" s="29"/>
      <c r="C9" s="29"/>
      <c r="D9" s="26">
        <v>18</v>
      </c>
      <c r="E9" s="26"/>
      <c r="F9" s="81">
        <v>92.5</v>
      </c>
      <c r="G9" s="32">
        <f>3.35*2.45/1000</f>
        <v>8.2075000000000013E-3</v>
      </c>
      <c r="H9" s="33">
        <f>G9*D9</f>
        <v>0.14773500000000003</v>
      </c>
      <c r="I9" s="32">
        <f>2.42*12.4/1000</f>
        <v>3.0008E-2</v>
      </c>
      <c r="J9" s="33">
        <f>I9*D9</f>
        <v>0.54014399999999996</v>
      </c>
      <c r="K9" s="32">
        <f>1.075*(30.87+7.08)/1000</f>
        <v>4.0796249999999999E-2</v>
      </c>
      <c r="L9" s="33">
        <f>K9*D9</f>
        <v>0.73433249999999994</v>
      </c>
      <c r="M9" s="35">
        <f t="shared" si="0"/>
        <v>2.2499999999999999E-4</v>
      </c>
      <c r="N9" s="36">
        <f>M9*D9</f>
        <v>4.0499999999999998E-3</v>
      </c>
      <c r="O9" s="93"/>
      <c r="P9" s="33"/>
      <c r="Q9" s="93"/>
      <c r="R9" s="33"/>
      <c r="S9" s="93"/>
      <c r="T9" s="33"/>
      <c r="U9" s="42"/>
      <c r="V9" s="43"/>
      <c r="W9" s="42">
        <f>(1*0.7)/1000</f>
        <v>6.9999999999999999E-4</v>
      </c>
      <c r="X9" s="46">
        <f>W9*D9</f>
        <v>1.26E-2</v>
      </c>
      <c r="Y9" s="42">
        <f>4</f>
        <v>4</v>
      </c>
      <c r="Z9" s="43">
        <f>Y9*D9</f>
        <v>72</v>
      </c>
      <c r="AA9" s="42"/>
      <c r="AB9" s="36"/>
      <c r="AC9" s="42"/>
      <c r="AD9" s="45"/>
      <c r="AE9" s="48">
        <f>G9+I9+K9+M9+W9</f>
        <v>7.9936750000000001E-2</v>
      </c>
      <c r="AF9" s="67" t="s">
        <v>50</v>
      </c>
      <c r="AG9" s="102"/>
    </row>
    <row r="10" spans="1:34" s="103" customFormat="1" ht="20.25" customHeight="1" x14ac:dyDescent="0.25">
      <c r="A10" s="20" t="s">
        <v>13</v>
      </c>
      <c r="B10" s="29"/>
      <c r="C10" s="29"/>
      <c r="D10" s="26">
        <v>19</v>
      </c>
      <c r="E10" s="26"/>
      <c r="F10" s="81"/>
      <c r="G10" s="32">
        <f>3.35*2.45/1000</f>
        <v>8.2075000000000013E-3</v>
      </c>
      <c r="H10" s="33">
        <f>G10*D10</f>
        <v>0.15594250000000001</v>
      </c>
      <c r="I10" s="32">
        <f>2.42*12.54/1000</f>
        <v>3.0346799999999997E-2</v>
      </c>
      <c r="J10" s="33">
        <f>I10*D10</f>
        <v>0.57658919999999991</v>
      </c>
      <c r="K10" s="32">
        <f>1.075*(32.55+11.2)/1000</f>
        <v>4.7031249999999997E-2</v>
      </c>
      <c r="L10" s="33">
        <f>K10*D10</f>
        <v>0.89359374999999996</v>
      </c>
      <c r="M10" s="35">
        <f t="shared" si="0"/>
        <v>2.2499999999999999E-4</v>
      </c>
      <c r="N10" s="36">
        <f>M10*D10</f>
        <v>4.2750000000000002E-3</v>
      </c>
      <c r="O10" s="93"/>
      <c r="P10" s="33"/>
      <c r="Q10" s="93"/>
      <c r="R10" s="33"/>
      <c r="S10" s="93"/>
      <c r="T10" s="33"/>
      <c r="U10" s="42"/>
      <c r="V10" s="43"/>
      <c r="W10" s="42">
        <f>(1*0.7)/1000</f>
        <v>6.9999999999999999E-4</v>
      </c>
      <c r="X10" s="46">
        <f>W10*D10</f>
        <v>1.3299999999999999E-2</v>
      </c>
      <c r="Y10" s="42">
        <f>4</f>
        <v>4</v>
      </c>
      <c r="Z10" s="43">
        <f>Y10*D10</f>
        <v>76</v>
      </c>
      <c r="AA10" s="42"/>
      <c r="AB10" s="36"/>
      <c r="AC10" s="42"/>
      <c r="AD10" s="45"/>
      <c r="AE10" s="48">
        <f>G10+I10+K10+M10+W10</f>
        <v>8.6510550000000005E-2</v>
      </c>
      <c r="AF10" s="67"/>
      <c r="AG10" s="102"/>
    </row>
    <row r="11" spans="1:34" s="103" customFormat="1" ht="20.25" customHeight="1" x14ac:dyDescent="0.25">
      <c r="A11" s="21" t="s">
        <v>14</v>
      </c>
      <c r="B11" s="29">
        <v>43</v>
      </c>
      <c r="C11" s="29"/>
      <c r="D11" s="26"/>
      <c r="E11" s="26"/>
      <c r="F11" s="81">
        <v>217.5</v>
      </c>
      <c r="G11" s="32">
        <f>3.35*1.49/1000</f>
        <v>4.9915000000000003E-3</v>
      </c>
      <c r="H11" s="33">
        <f>G11*B11</f>
        <v>0.21463450000000001</v>
      </c>
      <c r="I11" s="32">
        <f>2.42*11.19/1000</f>
        <v>2.7079799999999998E-2</v>
      </c>
      <c r="J11" s="33">
        <f>I11*B11</f>
        <v>1.1644314</v>
      </c>
      <c r="K11" s="32">
        <f>1.075*(15.45+5.05)/1000</f>
        <v>2.2037499999999998E-2</v>
      </c>
      <c r="L11" s="33">
        <f>K11*B11</f>
        <v>0.94761249999999997</v>
      </c>
      <c r="M11" s="35">
        <f t="shared" si="0"/>
        <v>2.2499999999999999E-4</v>
      </c>
      <c r="N11" s="36">
        <f>M11*B11</f>
        <v>9.6749999999999996E-3</v>
      </c>
      <c r="O11" s="44"/>
      <c r="P11" s="33"/>
      <c r="Q11" s="44"/>
      <c r="R11" s="33"/>
      <c r="S11" s="93"/>
      <c r="T11" s="33"/>
      <c r="U11" s="42"/>
      <c r="V11" s="43"/>
      <c r="W11" s="42">
        <f>(1*0.7)/1000</f>
        <v>6.9999999999999999E-4</v>
      </c>
      <c r="X11" s="46">
        <f>W11*B11</f>
        <v>3.0099999999999998E-2</v>
      </c>
      <c r="Y11" s="42">
        <f>4</f>
        <v>4</v>
      </c>
      <c r="Z11" s="43">
        <f>Y11*B11</f>
        <v>172</v>
      </c>
      <c r="AA11" s="42"/>
      <c r="AB11" s="36"/>
      <c r="AC11" s="42"/>
      <c r="AD11" s="45"/>
      <c r="AE11" s="48">
        <f>G11+I11+K11+M11+W11</f>
        <v>5.5033800000000001E-2</v>
      </c>
      <c r="AF11" s="67" t="s">
        <v>22</v>
      </c>
      <c r="AG11" s="102"/>
    </row>
    <row r="12" spans="1:34" s="103" customFormat="1" ht="20.25" customHeight="1" x14ac:dyDescent="0.25">
      <c r="A12" s="21" t="s">
        <v>15</v>
      </c>
      <c r="B12" s="29">
        <v>44</v>
      </c>
      <c r="C12" s="29"/>
      <c r="D12" s="26"/>
      <c r="E12" s="26"/>
      <c r="F12" s="81"/>
      <c r="G12" s="32">
        <f>3.35*1.49/1000</f>
        <v>4.9915000000000003E-3</v>
      </c>
      <c r="H12" s="33">
        <f>G12*B12</f>
        <v>0.21962600000000002</v>
      </c>
      <c r="I12" s="32">
        <f>2.42*11.2/1000</f>
        <v>2.7104E-2</v>
      </c>
      <c r="J12" s="33">
        <f>I12*B12</f>
        <v>1.1925760000000001</v>
      </c>
      <c r="K12" s="32">
        <f>1.075*(15.86+7.37)/1000</f>
        <v>2.4972249999999998E-2</v>
      </c>
      <c r="L12" s="33">
        <f>K12*B12</f>
        <v>1.098779</v>
      </c>
      <c r="M12" s="35">
        <f t="shared" si="0"/>
        <v>2.2499999999999999E-4</v>
      </c>
      <c r="N12" s="36">
        <f>M12*B12</f>
        <v>9.8999999999999991E-3</v>
      </c>
      <c r="O12" s="44"/>
      <c r="P12" s="33"/>
      <c r="Q12" s="44"/>
      <c r="R12" s="33"/>
      <c r="S12" s="93"/>
      <c r="T12" s="33"/>
      <c r="U12" s="42"/>
      <c r="V12" s="43"/>
      <c r="W12" s="42">
        <f>(1*0.7)/1000</f>
        <v>6.9999999999999999E-4</v>
      </c>
      <c r="X12" s="46">
        <f>W12*B12</f>
        <v>3.0800000000000001E-2</v>
      </c>
      <c r="Y12" s="42">
        <f>4</f>
        <v>4</v>
      </c>
      <c r="Z12" s="43">
        <f>Y12*B12</f>
        <v>176</v>
      </c>
      <c r="AA12" s="42"/>
      <c r="AB12" s="36"/>
      <c r="AC12" s="42"/>
      <c r="AD12" s="45"/>
      <c r="AE12" s="48">
        <f>G12+I12+K12+M12+W12</f>
        <v>5.7992750000000003E-2</v>
      </c>
      <c r="AF12" s="67"/>
      <c r="AG12" s="102"/>
    </row>
    <row r="13" spans="1:34" s="95" customFormat="1" ht="20.25" customHeight="1" x14ac:dyDescent="0.25">
      <c r="A13" s="21" t="s">
        <v>47</v>
      </c>
      <c r="B13" s="23"/>
      <c r="C13" s="23"/>
      <c r="D13" s="25"/>
      <c r="E13" s="25">
        <v>47</v>
      </c>
      <c r="F13" s="100">
        <v>235.8</v>
      </c>
      <c r="G13" s="32">
        <f>3.35*1.65/1000</f>
        <v>5.5274999999999994E-3</v>
      </c>
      <c r="H13" s="33">
        <f>G13*E13</f>
        <v>0.25979249999999998</v>
      </c>
      <c r="I13" s="32">
        <f>2.42*11.19/1000</f>
        <v>2.7079799999999998E-2</v>
      </c>
      <c r="J13" s="33">
        <f>I13*E13</f>
        <v>1.2727506</v>
      </c>
      <c r="K13" s="32">
        <f>1.075*(15.45+5.05)/1000</f>
        <v>2.2037499999999998E-2</v>
      </c>
      <c r="L13" s="33">
        <f>K13*E13</f>
        <v>1.0357624999999999</v>
      </c>
      <c r="M13" s="35">
        <f t="shared" si="0"/>
        <v>2.2499999999999999E-4</v>
      </c>
      <c r="N13" s="36">
        <f>M13*E13</f>
        <v>1.0574999999999999E-2</v>
      </c>
      <c r="O13" s="44"/>
      <c r="P13" s="33"/>
      <c r="Q13" s="44"/>
      <c r="R13" s="33"/>
      <c r="S13" s="93"/>
      <c r="T13" s="33"/>
      <c r="U13" s="42"/>
      <c r="V13" s="43"/>
      <c r="W13" s="42"/>
      <c r="X13" s="43"/>
      <c r="Y13" s="42"/>
      <c r="Z13" s="43"/>
      <c r="AA13" s="32">
        <f>(1*4.91)/1000</f>
        <v>4.9100000000000003E-3</v>
      </c>
      <c r="AB13" s="36">
        <f>AA13*E13</f>
        <v>0.23077</v>
      </c>
      <c r="AC13" s="42">
        <v>4</v>
      </c>
      <c r="AD13" s="45">
        <f>AC13*E13</f>
        <v>188</v>
      </c>
      <c r="AE13" s="48">
        <f>G13+I13+K13+M13+AA13</f>
        <v>5.9779799999999994E-2</v>
      </c>
      <c r="AF13" s="67" t="s">
        <v>21</v>
      </c>
      <c r="AG13" s="94"/>
    </row>
    <row r="14" spans="1:34" s="95" customFormat="1" ht="20.25" customHeight="1" x14ac:dyDescent="0.25">
      <c r="A14" s="21" t="s">
        <v>48</v>
      </c>
      <c r="B14" s="23"/>
      <c r="C14" s="23"/>
      <c r="D14" s="25"/>
      <c r="E14" s="25">
        <v>48</v>
      </c>
      <c r="F14" s="101"/>
      <c r="G14" s="32">
        <f>3.35*1.65/1000</f>
        <v>5.5274999999999994E-3</v>
      </c>
      <c r="H14" s="33">
        <f>G14*E14</f>
        <v>0.26532</v>
      </c>
      <c r="I14" s="32">
        <f>2.42*11.2/1000</f>
        <v>2.7104E-2</v>
      </c>
      <c r="J14" s="33">
        <f>I14*E14</f>
        <v>1.3009919999999999</v>
      </c>
      <c r="K14" s="32">
        <f>1.075*(15.86+7.37)/1000</f>
        <v>2.4972249999999998E-2</v>
      </c>
      <c r="L14" s="33">
        <f>K14*E14</f>
        <v>1.1986679999999998</v>
      </c>
      <c r="M14" s="35">
        <f t="shared" si="0"/>
        <v>2.2499999999999999E-4</v>
      </c>
      <c r="N14" s="36">
        <f>M14*E14</f>
        <v>1.0800000000000001E-2</v>
      </c>
      <c r="O14" s="44"/>
      <c r="P14" s="33"/>
      <c r="Q14" s="44"/>
      <c r="R14" s="33"/>
      <c r="S14" s="93"/>
      <c r="T14" s="33"/>
      <c r="U14" s="42"/>
      <c r="V14" s="43"/>
      <c r="W14" s="42"/>
      <c r="X14" s="43"/>
      <c r="Y14" s="42"/>
      <c r="Z14" s="43"/>
      <c r="AA14" s="32">
        <f>(1*4.91)/1000</f>
        <v>4.9100000000000003E-3</v>
      </c>
      <c r="AB14" s="36">
        <f>AA14*E14</f>
        <v>0.23568</v>
      </c>
      <c r="AC14" s="42">
        <v>4</v>
      </c>
      <c r="AD14" s="45">
        <f>AC14*E14</f>
        <v>192</v>
      </c>
      <c r="AE14" s="48">
        <f>G14+I14+K14+M14+AA14</f>
        <v>6.2738749999999996E-2</v>
      </c>
      <c r="AF14" s="67"/>
      <c r="AG14" s="94"/>
    </row>
    <row r="15" spans="1:34" ht="20.25" customHeight="1" x14ac:dyDescent="0.25">
      <c r="A15" s="20" t="s">
        <v>16</v>
      </c>
      <c r="B15" s="29"/>
      <c r="C15" s="29">
        <v>7</v>
      </c>
      <c r="D15" s="26"/>
      <c r="E15" s="26"/>
      <c r="F15" s="29">
        <f>1.72*7</f>
        <v>12.04</v>
      </c>
      <c r="G15" s="32">
        <f>3.35*4.4/1000</f>
        <v>1.4740000000000001E-2</v>
      </c>
      <c r="H15" s="33">
        <f>G15*C15</f>
        <v>0.10318000000000001</v>
      </c>
      <c r="I15" s="32">
        <f>2.42*5.76/1000</f>
        <v>1.3939199999999999E-2</v>
      </c>
      <c r="J15" s="33">
        <f>I15*C15</f>
        <v>9.7574399999999992E-2</v>
      </c>
      <c r="K15" s="32">
        <f>1.075*(20.22+3.69)/1000</f>
        <v>2.570325E-2</v>
      </c>
      <c r="L15" s="33">
        <f>K15*C15</f>
        <v>0.17992274999999999</v>
      </c>
      <c r="M15" s="35">
        <f>0.225*4/1000</f>
        <v>8.9999999999999998E-4</v>
      </c>
      <c r="N15" s="36">
        <f>M15*C15</f>
        <v>6.3E-3</v>
      </c>
      <c r="O15" s="32">
        <f>0.7*2/1000</f>
        <v>1.4E-3</v>
      </c>
      <c r="P15" s="33">
        <f>O15*C15</f>
        <v>9.7999999999999997E-3</v>
      </c>
      <c r="Q15" s="37">
        <v>1</v>
      </c>
      <c r="R15" s="38">
        <f>Q15*C15</f>
        <v>7</v>
      </c>
      <c r="S15" s="93"/>
      <c r="T15" s="33"/>
      <c r="U15" s="44"/>
      <c r="V15" s="33"/>
      <c r="W15" s="44"/>
      <c r="X15" s="33"/>
      <c r="Y15" s="44"/>
      <c r="Z15" s="33"/>
      <c r="AA15" s="32">
        <f>(2*4.91)/1000</f>
        <v>9.8200000000000006E-3</v>
      </c>
      <c r="AB15" s="36">
        <f>AA15*C15</f>
        <v>6.8740000000000009E-2</v>
      </c>
      <c r="AC15" s="37">
        <f>4*2</f>
        <v>8</v>
      </c>
      <c r="AD15" s="45">
        <f>AC15*C15</f>
        <v>56</v>
      </c>
      <c r="AE15" s="48">
        <f>G15+I15+K15+M15+AA15</f>
        <v>6.5102449999999992E-2</v>
      </c>
      <c r="AF15" s="49" t="s">
        <v>24</v>
      </c>
      <c r="AG15" s="8"/>
    </row>
    <row r="16" spans="1:34" ht="20.25" customHeight="1" x14ac:dyDescent="0.25">
      <c r="A16" s="20" t="s">
        <v>17</v>
      </c>
      <c r="B16" s="29"/>
      <c r="C16" s="29">
        <v>1</v>
      </c>
      <c r="D16" s="26"/>
      <c r="E16" s="26"/>
      <c r="F16" s="30">
        <f>6*1</f>
        <v>6</v>
      </c>
      <c r="G16" s="32">
        <f>3.35*13.78/1000</f>
        <v>4.6162999999999996E-2</v>
      </c>
      <c r="H16" s="33">
        <f>G16*C16</f>
        <v>4.6162999999999996E-2</v>
      </c>
      <c r="I16" s="32">
        <f>2.42*22.24/1000</f>
        <v>5.3820799999999988E-2</v>
      </c>
      <c r="J16" s="33">
        <f>I16*C16</f>
        <v>5.3820799999999988E-2</v>
      </c>
      <c r="K16" s="32">
        <f>1.075*(82.42+10.14)/1000</f>
        <v>9.9501999999999993E-2</v>
      </c>
      <c r="L16" s="33">
        <f>K16*C16</f>
        <v>9.9501999999999993E-2</v>
      </c>
      <c r="M16" s="35">
        <f>0.225*6/1000</f>
        <v>1.3500000000000001E-3</v>
      </c>
      <c r="N16" s="36">
        <f>M16*C16</f>
        <v>1.3500000000000001E-3</v>
      </c>
      <c r="O16" s="32">
        <f>0.7*4/1000</f>
        <v>2.8E-3</v>
      </c>
      <c r="P16" s="33">
        <f>O16*C16</f>
        <v>2.8E-3</v>
      </c>
      <c r="Q16" s="93"/>
      <c r="R16" s="33"/>
      <c r="S16" s="37">
        <v>1</v>
      </c>
      <c r="T16" s="39">
        <f>S16*C16</f>
        <v>1</v>
      </c>
      <c r="U16" s="37">
        <v>2</v>
      </c>
      <c r="V16" s="45">
        <f>U16*C16</f>
        <v>2</v>
      </c>
      <c r="W16" s="35"/>
      <c r="X16" s="47"/>
      <c r="Y16" s="35"/>
      <c r="Z16" s="47"/>
      <c r="AA16" s="32">
        <f>(2*4.91)/1000</f>
        <v>9.8200000000000006E-3</v>
      </c>
      <c r="AB16" s="36">
        <f>AA16*C16</f>
        <v>9.8200000000000006E-3</v>
      </c>
      <c r="AC16" s="37">
        <f>4*2</f>
        <v>8</v>
      </c>
      <c r="AD16" s="45">
        <f>AC16*C16</f>
        <v>8</v>
      </c>
      <c r="AE16" s="48">
        <f>G16+I16+K16+M16+AA16</f>
        <v>0.21065579999999998</v>
      </c>
      <c r="AF16" s="49" t="s">
        <v>25</v>
      </c>
      <c r="AG16" s="8"/>
    </row>
    <row r="17" spans="1:33" ht="25.15" customHeight="1" thickBot="1" x14ac:dyDescent="0.3">
      <c r="A17" s="22" t="s">
        <v>2</v>
      </c>
      <c r="B17" s="24">
        <f>B11+B12</f>
        <v>87</v>
      </c>
      <c r="C17" s="24">
        <f>C7+C8</f>
        <v>26</v>
      </c>
      <c r="D17" s="27">
        <f>D9+D10</f>
        <v>37</v>
      </c>
      <c r="E17" s="27">
        <f>E13+E14</f>
        <v>95</v>
      </c>
      <c r="F17" s="31">
        <f>SUM(F7:F16)</f>
        <v>627.24</v>
      </c>
      <c r="G17" s="84"/>
      <c r="H17" s="34">
        <f>SUM(H7:H16)</f>
        <v>1.6257885000000001</v>
      </c>
      <c r="I17" s="85"/>
      <c r="J17" s="40">
        <f>SUM(J7:J16)</f>
        <v>6.9834907999999993</v>
      </c>
      <c r="K17" s="85"/>
      <c r="L17" s="40">
        <f>SUM(L7:L16)</f>
        <v>7.3299304999999988</v>
      </c>
      <c r="M17" s="86"/>
      <c r="N17" s="40">
        <f>SUM(N7:N16)</f>
        <v>6.2775000000000011E-2</v>
      </c>
      <c r="O17" s="86"/>
      <c r="P17" s="40">
        <f>SUM(P7:P16)</f>
        <v>1.26E-2</v>
      </c>
      <c r="Q17" s="86"/>
      <c r="R17" s="41">
        <f>SUM(R7:R16)</f>
        <v>7</v>
      </c>
      <c r="S17" s="86"/>
      <c r="T17" s="41">
        <f>SUM(T7:T16)</f>
        <v>1</v>
      </c>
      <c r="U17" s="86"/>
      <c r="V17" s="41">
        <f>SUM(V7:V16)</f>
        <v>2</v>
      </c>
      <c r="W17" s="87"/>
      <c r="X17" s="40">
        <f>SUM(X7:X16)</f>
        <v>8.6799999999999988E-2</v>
      </c>
      <c r="Y17" s="88"/>
      <c r="Z17" s="41">
        <f>SUM(Z7:Z16)</f>
        <v>496</v>
      </c>
      <c r="AA17" s="87"/>
      <c r="AB17" s="40">
        <f>SUM(AB7:AB16)</f>
        <v>0.6726700000000001</v>
      </c>
      <c r="AC17" s="88"/>
      <c r="AD17" s="41">
        <f>SUM(AD7:AD16)</f>
        <v>548</v>
      </c>
      <c r="AE17" s="107"/>
      <c r="AF17" s="108"/>
      <c r="AG17" s="9"/>
    </row>
    <row r="18" spans="1:33" s="7" customFormat="1" ht="33" customHeight="1" thickBot="1" x14ac:dyDescent="0.35">
      <c r="A18" s="19" t="s">
        <v>45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90"/>
      <c r="V18" s="89"/>
      <c r="W18" s="89"/>
      <c r="X18" s="89"/>
      <c r="Y18" s="89"/>
      <c r="Z18" s="89"/>
      <c r="AA18" s="89"/>
      <c r="AB18" s="89"/>
      <c r="AC18" s="89"/>
      <c r="AD18" s="89"/>
      <c r="AE18" s="50">
        <f>H17+J17+L17+N17+P17+X17+AB17</f>
        <v>16.774054799999995</v>
      </c>
      <c r="AF18" s="51" t="s">
        <v>7</v>
      </c>
      <c r="AG18" s="6"/>
    </row>
    <row r="19" spans="1:3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</row>
    <row r="20" spans="1:33" s="3" customForma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52">
        <f>(AE7+AE8+AE9+AE10+AE11+AE12+AE15+AE16)</f>
        <v>0.73009939999999995</v>
      </c>
      <c r="AF20" s="53"/>
      <c r="AG20" s="5"/>
    </row>
    <row r="21" spans="1:33" s="2" customFormat="1" ht="25.15" customHeight="1" x14ac:dyDescent="0.25">
      <c r="A21" s="1" t="s">
        <v>4</v>
      </c>
      <c r="B21" s="1"/>
      <c r="C21" s="1"/>
      <c r="D21" s="104"/>
      <c r="E21" s="104"/>
      <c r="F21" s="105"/>
      <c r="G21" s="105"/>
      <c r="H21" s="105"/>
      <c r="I21" s="105"/>
      <c r="J21" s="105"/>
      <c r="K21" s="105"/>
      <c r="W21" s="16"/>
      <c r="X21" s="16"/>
      <c r="Y21" s="16"/>
      <c r="Z21" s="16"/>
      <c r="AA21" s="16"/>
      <c r="AB21" s="16"/>
      <c r="AC21" s="16"/>
      <c r="AD21" s="16"/>
      <c r="AE21" s="54">
        <f>(AE20/(15+1.72+6))*1000</f>
        <v>32.134656690140844</v>
      </c>
      <c r="AF21" s="2" t="s">
        <v>42</v>
      </c>
    </row>
    <row r="22" spans="1:33" s="10" customFormat="1" ht="24" customHeight="1" x14ac:dyDescent="0.25">
      <c r="A22" s="70" t="s">
        <v>5</v>
      </c>
      <c r="B22" s="70"/>
      <c r="C22" s="70"/>
      <c r="D22" s="70"/>
      <c r="E22" s="70"/>
      <c r="F22" s="71"/>
      <c r="G22" s="71"/>
      <c r="H22" s="12"/>
      <c r="I22" s="12"/>
      <c r="J22" s="12"/>
      <c r="K22" s="106"/>
      <c r="W22" s="17"/>
      <c r="X22" s="17"/>
      <c r="Y22" s="17"/>
      <c r="Z22" s="17"/>
      <c r="AA22" s="17"/>
      <c r="AB22" s="17"/>
      <c r="AC22" s="17"/>
      <c r="AD22" s="17"/>
      <c r="AE22" s="55">
        <f>(AE18/F17)*1000</f>
        <v>26.742642050889604</v>
      </c>
      <c r="AF22" s="2" t="s">
        <v>42</v>
      </c>
    </row>
    <row r="23" spans="1:33" s="2" customFormat="1" ht="39" customHeight="1" x14ac:dyDescent="0.25">
      <c r="A23" s="72" t="s">
        <v>43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18"/>
      <c r="X23" s="18"/>
      <c r="Y23" s="18"/>
      <c r="Z23" s="18"/>
      <c r="AA23" s="18"/>
      <c r="AB23" s="18"/>
      <c r="AC23" s="18"/>
      <c r="AD23" s="18"/>
      <c r="AE23" s="16"/>
      <c r="AF23" s="16"/>
    </row>
    <row r="24" spans="1:33" ht="21" customHeight="1" x14ac:dyDescent="0.25">
      <c r="A24" s="60" t="s">
        <v>26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13"/>
      <c r="X24" s="13"/>
      <c r="Y24" s="13"/>
      <c r="Z24" s="13"/>
      <c r="AA24" s="13"/>
      <c r="AB24" s="13"/>
      <c r="AC24" s="13"/>
      <c r="AD24" s="13"/>
      <c r="AE24" s="13"/>
      <c r="AF24" s="14"/>
    </row>
  </sheetData>
  <mergeCells count="56">
    <mergeCell ref="G3:AD3"/>
    <mergeCell ref="B5:E5"/>
    <mergeCell ref="F13:F14"/>
    <mergeCell ref="AF13:AF14"/>
    <mergeCell ref="A3:F4"/>
    <mergeCell ref="F5:F6"/>
    <mergeCell ref="F7:F8"/>
    <mergeCell ref="F9:F10"/>
    <mergeCell ref="F11:F12"/>
    <mergeCell ref="A5:A6"/>
    <mergeCell ref="A22:G22"/>
    <mergeCell ref="A23:V23"/>
    <mergeCell ref="M5:M6"/>
    <mergeCell ref="N5:N6"/>
    <mergeCell ref="O5:O6"/>
    <mergeCell ref="P5:P6"/>
    <mergeCell ref="Q5:Q6"/>
    <mergeCell ref="R5:R6"/>
    <mergeCell ref="V5:V6"/>
    <mergeCell ref="S5:S6"/>
    <mergeCell ref="T5:T6"/>
    <mergeCell ref="AF11:AF12"/>
    <mergeCell ref="K4:L4"/>
    <mergeCell ref="U4:V4"/>
    <mergeCell ref="Q4:R4"/>
    <mergeCell ref="O4:P4"/>
    <mergeCell ref="M4:N4"/>
    <mergeCell ref="AE3:AE6"/>
    <mergeCell ref="S4:T4"/>
    <mergeCell ref="W4:X4"/>
    <mergeCell ref="W5:W6"/>
    <mergeCell ref="X5:X6"/>
    <mergeCell ref="Y4:Z4"/>
    <mergeCell ref="Y5:Y6"/>
    <mergeCell ref="Z5:Z6"/>
    <mergeCell ref="AA4:AB4"/>
    <mergeCell ref="A24:L24"/>
    <mergeCell ref="A2:AF2"/>
    <mergeCell ref="AE1:AF1"/>
    <mergeCell ref="AF3:AF6"/>
    <mergeCell ref="K5:K6"/>
    <mergeCell ref="L5:L6"/>
    <mergeCell ref="U5:U6"/>
    <mergeCell ref="G4:H4"/>
    <mergeCell ref="I4:J4"/>
    <mergeCell ref="G5:G6"/>
    <mergeCell ref="H5:H6"/>
    <mergeCell ref="I5:I6"/>
    <mergeCell ref="J5:J6"/>
    <mergeCell ref="AF7:AF8"/>
    <mergeCell ref="AF9:AF10"/>
    <mergeCell ref="AA5:AA6"/>
    <mergeCell ref="AB5:AB6"/>
    <mergeCell ref="AC4:AD4"/>
    <mergeCell ref="AC5:AC6"/>
    <mergeCell ref="AD5:AD6"/>
  </mergeCells>
  <phoneticPr fontId="6" type="noConversion"/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Наружные ограждения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2025-06-04T09:59:37Z</dcterms:modified>
</cp:coreProperties>
</file>