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9FFCA69-3A3F-448F-963B-608F832D26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раждения" sheetId="6" r:id="rId1"/>
    <sheet name="Ограждение крыльца" sheetId="7" r:id="rId2"/>
  </sheets>
  <calcPr calcId="191029"/>
</workbook>
</file>

<file path=xl/calcChain.xml><?xml version="1.0" encoding="utf-8"?>
<calcChain xmlns="http://schemas.openxmlformats.org/spreadsheetml/2006/main">
  <c r="X20" i="6" l="1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V22" i="6"/>
  <c r="O13" i="7"/>
  <c r="O6" i="7"/>
  <c r="O7" i="7"/>
  <c r="O8" i="7"/>
  <c r="O9" i="7"/>
  <c r="O10" i="7"/>
  <c r="O11" i="7"/>
  <c r="O12" i="7"/>
  <c r="M11" i="7"/>
  <c r="N11" i="7"/>
  <c r="H11" i="7"/>
  <c r="G11" i="7"/>
  <c r="W21" i="6"/>
  <c r="U21" i="6"/>
  <c r="S21" i="6"/>
  <c r="Q21" i="6"/>
  <c r="O21" i="6"/>
  <c r="M21" i="6"/>
  <c r="K21" i="6"/>
  <c r="I21" i="6"/>
  <c r="G21" i="6"/>
  <c r="E21" i="6"/>
  <c r="D21" i="6"/>
  <c r="C21" i="6"/>
  <c r="B21" i="6"/>
  <c r="C11" i="7"/>
  <c r="C10" i="7"/>
  <c r="E11" i="7"/>
  <c r="D11" i="7"/>
  <c r="L20" i="6"/>
  <c r="L19" i="6"/>
  <c r="M19" i="6" s="1"/>
  <c r="H20" i="6"/>
  <c r="F20" i="6"/>
  <c r="V19" i="6"/>
  <c r="W19" i="6" s="1"/>
  <c r="T19" i="6"/>
  <c r="H19" i="6"/>
  <c r="F19" i="6"/>
  <c r="D19" i="6"/>
  <c r="T18" i="6"/>
  <c r="L18" i="6"/>
  <c r="H18" i="6"/>
  <c r="F18" i="6"/>
  <c r="F17" i="6"/>
  <c r="G17" i="6" s="1"/>
  <c r="H17" i="6"/>
  <c r="I17" i="6" s="1"/>
  <c r="L17" i="6"/>
  <c r="M17" i="6" s="1"/>
  <c r="T17" i="6"/>
  <c r="U17" i="6" s="1"/>
  <c r="V17" i="6"/>
  <c r="W17" i="6" s="1"/>
  <c r="C15" i="6"/>
  <c r="T16" i="6"/>
  <c r="H16" i="6"/>
  <c r="L10" i="7"/>
  <c r="F12" i="7"/>
  <c r="F6" i="7"/>
  <c r="L12" i="7"/>
  <c r="K10" i="7"/>
  <c r="J10" i="7"/>
  <c r="I10" i="7"/>
  <c r="F10" i="7"/>
  <c r="C12" i="7"/>
  <c r="E9" i="7"/>
  <c r="C9" i="7"/>
  <c r="F8" i="7"/>
  <c r="E8" i="7"/>
  <c r="C8" i="7"/>
  <c r="F7" i="7"/>
  <c r="C7" i="7"/>
  <c r="E7" i="7"/>
  <c r="E6" i="7"/>
  <c r="C6" i="7"/>
  <c r="K12" i="7"/>
  <c r="J12" i="7"/>
  <c r="I12" i="7"/>
  <c r="L7" i="6"/>
  <c r="F7" i="6"/>
  <c r="G19" i="6" l="1"/>
  <c r="I19" i="6"/>
  <c r="U19" i="6"/>
  <c r="V12" i="6"/>
  <c r="W12" i="6" s="1"/>
  <c r="N12" i="6"/>
  <c r="O12" i="6" s="1"/>
  <c r="R12" i="6"/>
  <c r="S12" i="6" s="1"/>
  <c r="L12" i="6"/>
  <c r="M12" i="6" s="1"/>
  <c r="J12" i="6"/>
  <c r="K12" i="6" s="1"/>
  <c r="F12" i="6"/>
  <c r="N11" i="6"/>
  <c r="O11" i="6" s="1"/>
  <c r="L11" i="6"/>
  <c r="J11" i="6"/>
  <c r="K11" i="6" s="1"/>
  <c r="F11" i="6"/>
  <c r="G11" i="6" s="1"/>
  <c r="N10" i="6"/>
  <c r="O10" i="6" s="1"/>
  <c r="R10" i="6"/>
  <c r="S10" i="6" s="1"/>
  <c r="L10" i="6"/>
  <c r="J10" i="6"/>
  <c r="K10" i="6" s="1"/>
  <c r="F10" i="6"/>
  <c r="G10" i="6" s="1"/>
  <c r="N9" i="6"/>
  <c r="O9" i="6" s="1"/>
  <c r="R9" i="6"/>
  <c r="S9" i="6" s="1"/>
  <c r="L9" i="6"/>
  <c r="M9" i="6" s="1"/>
  <c r="J9" i="6"/>
  <c r="F9" i="6"/>
  <c r="G9" i="6" s="1"/>
  <c r="L8" i="6"/>
  <c r="F8" i="6"/>
  <c r="J8" i="6"/>
  <c r="J7" i="6"/>
  <c r="N7" i="6"/>
  <c r="O7" i="6" s="1"/>
  <c r="R7" i="6"/>
  <c r="S7" i="6" s="1"/>
  <c r="G7" i="6"/>
  <c r="M7" i="6"/>
  <c r="K7" i="6" l="1"/>
  <c r="G12" i="6"/>
  <c r="M10" i="6"/>
  <c r="K9" i="6"/>
  <c r="B8" i="6"/>
  <c r="F9" i="7"/>
  <c r="D20" i="6"/>
  <c r="C16" i="6"/>
  <c r="G8" i="6" l="1"/>
  <c r="M8" i="6"/>
  <c r="K8" i="6"/>
  <c r="F16" i="6"/>
  <c r="I16" i="6"/>
  <c r="L16" i="6"/>
  <c r="M16" i="6" s="1"/>
  <c r="U16" i="6"/>
  <c r="T15" i="6"/>
  <c r="U15" i="6" s="1"/>
  <c r="L15" i="6"/>
  <c r="M15" i="6" s="1"/>
  <c r="H15" i="6"/>
  <c r="I15" i="6" s="1"/>
  <c r="F15" i="6"/>
  <c r="F14" i="6"/>
  <c r="H14" i="6"/>
  <c r="I14" i="6" s="1"/>
  <c r="L14" i="6"/>
  <c r="M14" i="6" s="1"/>
  <c r="P14" i="6"/>
  <c r="Q14" i="6" s="1"/>
  <c r="R14" i="6"/>
  <c r="S14" i="6" s="1"/>
  <c r="R13" i="6"/>
  <c r="S13" i="6" s="1"/>
  <c r="P13" i="6"/>
  <c r="Q13" i="6" s="1"/>
  <c r="L13" i="6"/>
  <c r="M13" i="6" s="1"/>
  <c r="H13" i="6"/>
  <c r="I13" i="6" s="1"/>
  <c r="F13" i="6"/>
  <c r="G16" i="6" l="1"/>
  <c r="G14" i="6"/>
  <c r="G15" i="6"/>
  <c r="G13" i="6"/>
  <c r="M11" i="6"/>
  <c r="V18" i="6" l="1"/>
  <c r="W18" i="6" s="1"/>
  <c r="V20" i="6"/>
  <c r="W20" i="6" s="1"/>
  <c r="T20" i="6"/>
  <c r="U20" i="6" s="1"/>
  <c r="U18" i="6"/>
  <c r="M20" i="6"/>
  <c r="I20" i="6"/>
  <c r="I18" i="6"/>
  <c r="G20" i="6" l="1"/>
  <c r="G18" i="6"/>
  <c r="M18" i="6"/>
</calcChain>
</file>

<file path=xl/sharedStrings.xml><?xml version="1.0" encoding="utf-8"?>
<sst xmlns="http://schemas.openxmlformats.org/spreadsheetml/2006/main" count="103" uniqueCount="76">
  <si>
    <t>всего</t>
  </si>
  <si>
    <t>Наименование</t>
  </si>
  <si>
    <t>Конструкции</t>
  </si>
  <si>
    <t>Кол-во</t>
  </si>
  <si>
    <t>Итого</t>
  </si>
  <si>
    <t>ОГ-15</t>
  </si>
  <si>
    <t>ОГ-16</t>
  </si>
  <si>
    <t>ОГ-17</t>
  </si>
  <si>
    <t>Элементы ограждений</t>
  </si>
  <si>
    <t>Общий вес ограждений</t>
  </si>
  <si>
    <r>
      <t xml:space="preserve">Труба кв. 40х40х3,0 мм (т) 
</t>
    </r>
    <r>
      <rPr>
        <sz val="12"/>
        <color theme="1"/>
        <rFont val="Times New Roman"/>
        <family val="1"/>
        <charset val="204"/>
      </rPr>
      <t>ГОСТ 8639-82</t>
    </r>
  </si>
  <si>
    <r>
      <t xml:space="preserve">Труба кв. 30х30х3,0 мм (т) 
</t>
    </r>
    <r>
      <rPr>
        <sz val="12"/>
        <color theme="1"/>
        <rFont val="Times New Roman"/>
        <family val="1"/>
        <charset val="204"/>
      </rPr>
      <t>ГОСТ 8639-82</t>
    </r>
  </si>
  <si>
    <r>
      <t xml:space="preserve">Труба кв. 15х15х1,5 мм (т) 
</t>
    </r>
    <r>
      <rPr>
        <sz val="12"/>
        <color theme="1"/>
        <rFont val="Times New Roman"/>
        <family val="1"/>
        <charset val="204"/>
      </rPr>
      <t>ГОСТ 8639-82</t>
    </r>
  </si>
  <si>
    <t>на 1 орг.</t>
  </si>
  <si>
    <r>
      <t xml:space="preserve">Арматура АI d=8мм (т)
</t>
    </r>
    <r>
      <rPr>
        <sz val="12"/>
        <color theme="1"/>
        <rFont val="Times New Roman"/>
        <family val="1"/>
        <charset val="204"/>
      </rPr>
      <t>ГОСТ 5781-82</t>
    </r>
  </si>
  <si>
    <t>тонн</t>
  </si>
  <si>
    <t>Сварку металлических элементов производить электродами Э-42 по ГОСТ 9467-75.
Сварные швы тщательно зачистить от ржавчины и окалины. 
После установки металлических элементов выполнить их антикоррозионную защиту двумя слоями эмали ПФ-115 по грунтовке ГФ-021.</t>
  </si>
  <si>
    <r>
      <t xml:space="preserve">Пластина,
 t=8 мм (т)
</t>
    </r>
    <r>
      <rPr>
        <sz val="12"/>
        <color theme="1"/>
        <rFont val="Times New Roman"/>
        <family val="1"/>
        <charset val="204"/>
      </rPr>
      <t>ГОСТ 103-2006</t>
    </r>
  </si>
  <si>
    <t>для 
лестницы</t>
  </si>
  <si>
    <t>ОГ-6</t>
  </si>
  <si>
    <t>ОГ-7</t>
  </si>
  <si>
    <t>ОГ-8</t>
  </si>
  <si>
    <t>ОГ-9</t>
  </si>
  <si>
    <t>ОГ-10</t>
  </si>
  <si>
    <t>ОГ-11</t>
  </si>
  <si>
    <t>ОГ-12</t>
  </si>
  <si>
    <t>ОГ-13</t>
  </si>
  <si>
    <t>ОГ-14</t>
  </si>
  <si>
    <r>
      <t xml:space="preserve">Пластина,
 t=6 мм (т)
</t>
    </r>
    <r>
      <rPr>
        <sz val="12"/>
        <color theme="1"/>
        <rFont val="Times New Roman"/>
        <family val="1"/>
        <charset val="204"/>
      </rPr>
      <t>ГОСТ 103-2006</t>
    </r>
  </si>
  <si>
    <r>
      <t xml:space="preserve">Пластина,
 t=4 мм (т)
</t>
    </r>
    <r>
      <rPr>
        <sz val="12"/>
        <color theme="1"/>
        <rFont val="Times New Roman"/>
        <family val="1"/>
        <charset val="204"/>
      </rPr>
      <t>ГОСТ 103-2006</t>
    </r>
  </si>
  <si>
    <t>Приложение №1</t>
  </si>
  <si>
    <t>Итого (т)
на 1 шт</t>
  </si>
  <si>
    <t>лист 
в РД</t>
  </si>
  <si>
    <t>для окон
внеквар.</t>
  </si>
  <si>
    <t>для балконов
открытых</t>
  </si>
  <si>
    <r>
      <t xml:space="preserve">Труба кв., 30х30х3,0 мм (т) 
</t>
    </r>
    <r>
      <rPr>
        <sz val="12"/>
        <rFont val="Times New Roman"/>
        <family val="1"/>
        <charset val="204"/>
      </rPr>
      <t>ГОСТ 8639-82</t>
    </r>
  </si>
  <si>
    <r>
      <t xml:space="preserve">Труба кв., 15х15х1,5 мм (т) 
</t>
    </r>
    <r>
      <rPr>
        <sz val="12"/>
        <rFont val="Times New Roman"/>
        <family val="1"/>
        <charset val="204"/>
      </rPr>
      <t>ГОСТ 8639-82</t>
    </r>
  </si>
  <si>
    <r>
      <t xml:space="preserve">Труба
 D 50х3 мм (т)
</t>
    </r>
    <r>
      <rPr>
        <sz val="12"/>
        <rFont val="Times New Roman"/>
        <family val="1"/>
        <charset val="204"/>
      </rPr>
      <t xml:space="preserve"> ГОСТ 11068-81</t>
    </r>
  </si>
  <si>
    <r>
      <t xml:space="preserve">Труба
 D 38х2,5 мм (т)
</t>
    </r>
    <r>
      <rPr>
        <sz val="12"/>
        <rFont val="Times New Roman"/>
        <family val="1"/>
        <charset val="204"/>
      </rPr>
      <t xml:space="preserve"> ГОСТ 11068-81</t>
    </r>
  </si>
  <si>
    <r>
      <t xml:space="preserve">Труба
 D 32х2,5 мм (т)
</t>
    </r>
    <r>
      <rPr>
        <sz val="12"/>
        <rFont val="Times New Roman"/>
        <family val="1"/>
        <charset val="204"/>
      </rPr>
      <t xml:space="preserve"> ГОСТ 11068-81</t>
    </r>
  </si>
  <si>
    <r>
      <t xml:space="preserve">Труба
 D 18х1,5 мм (т)
</t>
    </r>
    <r>
      <rPr>
        <sz val="12"/>
        <rFont val="Times New Roman"/>
        <family val="1"/>
        <charset val="204"/>
      </rPr>
      <t xml:space="preserve"> ГОСТ 11068-82</t>
    </r>
  </si>
  <si>
    <t>Всего (т)</t>
  </si>
  <si>
    <t>Кол-во, шт</t>
  </si>
  <si>
    <t>ОГ-1</t>
  </si>
  <si>
    <t>ОГ-2</t>
  </si>
  <si>
    <t>ОГ-3</t>
  </si>
  <si>
    <t>ОГ-4</t>
  </si>
  <si>
    <t>ОГ-5</t>
  </si>
  <si>
    <t>Примечания:</t>
  </si>
  <si>
    <t>1. Ограждения выполнить согласно ГОСТ 25772-2021.</t>
  </si>
  <si>
    <t>2. Сварку металлических элементов производить электродами Э-42 по ГОСТ 9467-75.
    Сварные швы тщательно зачистить от ржавчины и окалины. 
    После установки металлических элементов, выполнить их антикоррозионную защиту двумя слоями эмали ПФ-115 по грунтовке ГФ-021.</t>
  </si>
  <si>
    <t>Приложение № 2</t>
  </si>
  <si>
    <t>ОГ-22</t>
  </si>
  <si>
    <t>АТР, Тип 12-15-1</t>
  </si>
  <si>
    <r>
      <t xml:space="preserve">Труба кв. 20х20х2,0 мм (т) 
</t>
    </r>
    <r>
      <rPr>
        <sz val="12"/>
        <color theme="1"/>
        <rFont val="Times New Roman"/>
        <family val="1"/>
        <charset val="204"/>
      </rPr>
      <t>ГОСТ 8639-82</t>
    </r>
  </si>
  <si>
    <r>
      <t xml:space="preserve">Круг
d18х1,5 мм (т) 
</t>
    </r>
    <r>
      <rPr>
        <sz val="12"/>
        <color theme="1"/>
        <rFont val="Times New Roman"/>
        <family val="1"/>
        <charset val="204"/>
      </rPr>
      <t>ГОСТ 11068-81</t>
    </r>
  </si>
  <si>
    <t>АТР, Тип 12-15-2</t>
  </si>
  <si>
    <t>АТР, Тип 12-15-3</t>
  </si>
  <si>
    <t>АТР, Тип 12-15-4</t>
  </si>
  <si>
    <t>АТР, Тип 12-19,5-5</t>
  </si>
  <si>
    <t>АТР, Тип 12-0,25-6</t>
  </si>
  <si>
    <t>для витражей
треугол.</t>
  </si>
  <si>
    <t>6905-АР, л.26</t>
  </si>
  <si>
    <r>
      <t xml:space="preserve">Пластина,
 t=8 мм (т)
</t>
    </r>
    <r>
      <rPr>
        <sz val="12"/>
        <rFont val="Times New Roman"/>
        <family val="1"/>
        <charset val="204"/>
      </rPr>
      <t>ГОСТ 103-2006</t>
    </r>
  </si>
  <si>
    <t>ОГ-26</t>
  </si>
  <si>
    <t>ОГ-18</t>
  </si>
  <si>
    <t>ОГ-24</t>
  </si>
  <si>
    <r>
      <t xml:space="preserve">Пластина,
 t=6 мм (т)
</t>
    </r>
    <r>
      <rPr>
        <sz val="12"/>
        <rFont val="Times New Roman"/>
        <family val="1"/>
        <charset val="204"/>
      </rPr>
      <t>ГОСТ 103-2006</t>
    </r>
  </si>
  <si>
    <t>ГОСТ 8639-82</t>
  </si>
  <si>
    <t xml:space="preserve">Труба кв., 40х40х3,0 мм (т) </t>
  </si>
  <si>
    <r>
      <t xml:space="preserve">Пластина,
 t=4 мм (т)
</t>
    </r>
    <r>
      <rPr>
        <sz val="12"/>
        <rFont val="Times New Roman"/>
        <family val="1"/>
        <charset val="204"/>
      </rPr>
      <t>ГОСТ 103-2006</t>
    </r>
  </si>
  <si>
    <t>Арматура АI d=8мм (т)</t>
  </si>
  <si>
    <t>ГОСТ 5781-82</t>
  </si>
  <si>
    <r>
      <t xml:space="preserve">Уголок равн.
 63х63х5 мм (т)
</t>
    </r>
    <r>
      <rPr>
        <sz val="12"/>
        <rFont val="Times New Roman"/>
        <family val="1"/>
        <charset val="204"/>
      </rPr>
      <t xml:space="preserve"> ГОСТ 8509-93</t>
    </r>
  </si>
  <si>
    <r>
      <t xml:space="preserve">ЖИЛОЙ ДОМ №4  Ограждения крылец
</t>
    </r>
    <r>
      <rPr>
        <u/>
        <sz val="12"/>
        <rFont val="Times New Roman"/>
        <family val="1"/>
        <charset val="204"/>
      </rPr>
      <t>л.24, л.27 РД 6904-АР</t>
    </r>
  </si>
  <si>
    <r>
      <t xml:space="preserve">ЖИЛОЙ ДОМ №4. Ограждения 
</t>
    </r>
    <r>
      <rPr>
        <u/>
        <sz val="12"/>
        <rFont val="Times New Roman"/>
        <family val="1"/>
        <charset val="204"/>
      </rPr>
      <t>л.3, 6,</t>
    </r>
    <r>
      <rPr>
        <sz val="12"/>
        <rFont val="Times New Roman"/>
        <family val="1"/>
        <charset val="204"/>
      </rPr>
      <t xml:space="preserve"> </t>
    </r>
    <r>
      <rPr>
        <u/>
        <sz val="12"/>
        <rFont val="Times New Roman"/>
        <family val="1"/>
        <charset val="204"/>
      </rPr>
      <t>8, 10, 12, 14, 24, 26, 27 РД 6904-АР изм.7 от 29.05.2025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</si>
</sst>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#,##0.000"/>
    <numFmt numFmtId="165" formatCode="#,##0.0000"/>
    <numFmt numFmtId="166" formatCode="#,##0.00000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u/>
      <sz val="11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1"/>
      <color rgb="FFFF0000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/>
    <xf numFmtId="0" fontId="0" fillId="0" borderId="0" xfId="0" applyFill="1"/>
    <xf numFmtId="0" fontId="6" fillId="0" borderId="0" xfId="0" applyFont="1"/>
    <xf numFmtId="0" fontId="11" fillId="0" borderId="0" xfId="0" applyFont="1" applyFill="1"/>
    <xf numFmtId="0" fontId="8" fillId="0" borderId="0" xfId="0" applyFont="1" applyFill="1"/>
    <xf numFmtId="0" fontId="7" fillId="0" borderId="0" xfId="0" applyFont="1"/>
    <xf numFmtId="0" fontId="12" fillId="0" borderId="0" xfId="0" applyFont="1" applyFill="1"/>
    <xf numFmtId="0" fontId="8" fillId="0" borderId="0" xfId="0" applyFont="1"/>
    <xf numFmtId="0" fontId="13" fillId="0" borderId="0" xfId="0" applyFont="1"/>
    <xf numFmtId="0" fontId="6" fillId="0" borderId="0" xfId="0" applyFont="1" applyFill="1"/>
    <xf numFmtId="164" fontId="5" fillId="0" borderId="1" xfId="0" applyNumberFormat="1" applyFont="1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top"/>
    </xf>
    <xf numFmtId="0" fontId="16" fillId="0" borderId="0" xfId="0" applyFont="1"/>
    <xf numFmtId="0" fontId="18" fillId="0" borderId="0" xfId="0" applyFont="1"/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19" fillId="0" borderId="0" xfId="0" applyFont="1"/>
    <xf numFmtId="0" fontId="5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8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/>
    <xf numFmtId="0" fontId="15" fillId="0" borderId="0" xfId="0" applyFont="1" applyFill="1"/>
    <xf numFmtId="0" fontId="3" fillId="0" borderId="0" xfId="0" applyFont="1" applyFill="1" applyAlignment="1">
      <alignment horizontal="right" vertical="top"/>
    </xf>
    <xf numFmtId="0" fontId="7" fillId="0" borderId="0" xfId="0" applyFont="1" applyFill="1"/>
    <xf numFmtId="0" fontId="15" fillId="0" borderId="0" xfId="0" applyFont="1" applyFill="1" applyAlignment="1">
      <alignment horizontal="left" vertical="top"/>
    </xf>
    <xf numFmtId="0" fontId="2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1" fontId="5" fillId="0" borderId="2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/>
    </xf>
    <xf numFmtId="165" fontId="5" fillId="0" borderId="29" xfId="0" applyNumberFormat="1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 vertical="center"/>
    </xf>
    <xf numFmtId="166" fontId="5" fillId="0" borderId="29" xfId="0" applyNumberFormat="1" applyFont="1" applyFill="1" applyBorder="1" applyAlignment="1">
      <alignment horizontal="center" vertical="center"/>
    </xf>
    <xf numFmtId="166" fontId="4" fillId="0" borderId="30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164" fontId="14" fillId="0" borderId="31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top"/>
    </xf>
    <xf numFmtId="165" fontId="5" fillId="0" borderId="13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66" fontId="5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1" fontId="3" fillId="0" borderId="38" xfId="0" applyNumberFormat="1" applyFont="1" applyFill="1" applyBorder="1" applyAlignment="1">
      <alignment horizontal="center" vertical="center"/>
    </xf>
    <xf numFmtId="164" fontId="3" fillId="0" borderId="3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167" fontId="5" fillId="0" borderId="29" xfId="0" applyNumberFormat="1" applyFont="1" applyFill="1" applyBorder="1" applyAlignment="1">
      <alignment horizontal="center" vertical="center"/>
    </xf>
    <xf numFmtId="167" fontId="4" fillId="0" borderId="30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/>
    </xf>
  </cellXfs>
  <cellStyles count="2">
    <cellStyle name="Денежный 2" xfId="1" xr:uid="{00000000-0005-0000-0000-000000000000}"/>
    <cellStyle name="Обычный" xfId="0" builtinId="0"/>
  </cellStyles>
  <dxfs count="0"/>
  <tableStyles count="0" defaultTableStyle="TableStyleMedium2" defaultPivotStyle="PivotStyleMedium9"/>
  <colors>
    <mruColors>
      <color rgb="FFD3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7"/>
  <sheetViews>
    <sheetView tabSelected="1" zoomScale="70" zoomScaleNormal="70" zoomScaleSheetLayoutView="85" workbookViewId="0">
      <selection activeCell="AE10" sqref="AE10"/>
    </sheetView>
  </sheetViews>
  <sheetFormatPr defaultRowHeight="15" x14ac:dyDescent="0.25"/>
  <cols>
    <col min="1" max="1" width="15.5703125" customWidth="1"/>
    <col min="2" max="3" width="10.42578125" style="1" customWidth="1"/>
    <col min="4" max="4" width="14.28515625" customWidth="1"/>
    <col min="5" max="5" width="13.85546875" style="1" customWidth="1"/>
    <col min="6" max="9" width="9.7109375" customWidth="1"/>
    <col min="10" max="11" width="9.7109375" style="1" customWidth="1"/>
    <col min="12" max="13" width="9.7109375" customWidth="1"/>
    <col min="14" max="19" width="9.7109375" style="1" customWidth="1"/>
    <col min="20" max="23" width="9.7109375" customWidth="1"/>
    <col min="24" max="24" width="12.7109375" customWidth="1"/>
    <col min="25" max="25" width="22" bestFit="1" customWidth="1"/>
  </cols>
  <sheetData>
    <row r="1" spans="1:25" s="2" customFormat="1" ht="29.25" customHeight="1" x14ac:dyDescent="0.25">
      <c r="W1" s="39" t="s">
        <v>30</v>
      </c>
    </row>
    <row r="2" spans="1:25" ht="42.75" customHeight="1" thickBot="1" x14ac:dyDescent="0.3">
      <c r="A2" s="94" t="s">
        <v>75</v>
      </c>
      <c r="B2" s="94"/>
      <c r="C2" s="94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1"/>
      <c r="Y2" s="1"/>
    </row>
    <row r="3" spans="1:25" ht="20.100000000000001" customHeight="1" x14ac:dyDescent="0.25">
      <c r="A3" s="100" t="s">
        <v>2</v>
      </c>
      <c r="B3" s="101"/>
      <c r="C3" s="101"/>
      <c r="D3" s="101"/>
      <c r="E3" s="102"/>
      <c r="F3" s="96" t="s">
        <v>8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81" t="s">
        <v>31</v>
      </c>
      <c r="Y3" s="82" t="s">
        <v>32</v>
      </c>
    </row>
    <row r="4" spans="1:25" ht="49.5" customHeight="1" thickBot="1" x14ac:dyDescent="0.3">
      <c r="A4" s="91"/>
      <c r="B4" s="85"/>
      <c r="C4" s="85"/>
      <c r="D4" s="85"/>
      <c r="E4" s="99"/>
      <c r="F4" s="91" t="s">
        <v>10</v>
      </c>
      <c r="G4" s="86"/>
      <c r="H4" s="85" t="s">
        <v>11</v>
      </c>
      <c r="I4" s="86"/>
      <c r="J4" s="85" t="s">
        <v>54</v>
      </c>
      <c r="K4" s="86"/>
      <c r="L4" s="85" t="s">
        <v>12</v>
      </c>
      <c r="M4" s="86"/>
      <c r="N4" s="85" t="s">
        <v>55</v>
      </c>
      <c r="O4" s="86"/>
      <c r="P4" s="85" t="s">
        <v>28</v>
      </c>
      <c r="Q4" s="85"/>
      <c r="R4" s="85" t="s">
        <v>29</v>
      </c>
      <c r="S4" s="85"/>
      <c r="T4" s="85" t="s">
        <v>17</v>
      </c>
      <c r="U4" s="85"/>
      <c r="V4" s="85" t="s">
        <v>14</v>
      </c>
      <c r="W4" s="99"/>
      <c r="X4" s="81"/>
      <c r="Y4" s="83"/>
    </row>
    <row r="5" spans="1:25" ht="20.100000000000001" customHeight="1" x14ac:dyDescent="0.25">
      <c r="A5" s="103" t="s">
        <v>1</v>
      </c>
      <c r="B5" s="84" t="s">
        <v>3</v>
      </c>
      <c r="C5" s="84"/>
      <c r="D5" s="84"/>
      <c r="E5" s="84"/>
      <c r="F5" s="87" t="s">
        <v>13</v>
      </c>
      <c r="G5" s="89" t="s">
        <v>0</v>
      </c>
      <c r="H5" s="87" t="s">
        <v>13</v>
      </c>
      <c r="I5" s="89" t="s">
        <v>0</v>
      </c>
      <c r="J5" s="87" t="s">
        <v>13</v>
      </c>
      <c r="K5" s="89" t="s">
        <v>0</v>
      </c>
      <c r="L5" s="87" t="s">
        <v>13</v>
      </c>
      <c r="M5" s="89" t="s">
        <v>0</v>
      </c>
      <c r="N5" s="87" t="s">
        <v>13</v>
      </c>
      <c r="O5" s="89" t="s">
        <v>0</v>
      </c>
      <c r="P5" s="87" t="s">
        <v>13</v>
      </c>
      <c r="Q5" s="89" t="s">
        <v>0</v>
      </c>
      <c r="R5" s="87" t="s">
        <v>13</v>
      </c>
      <c r="S5" s="89" t="s">
        <v>0</v>
      </c>
      <c r="T5" s="87" t="s">
        <v>13</v>
      </c>
      <c r="U5" s="89" t="s">
        <v>0</v>
      </c>
      <c r="V5" s="87" t="s">
        <v>13</v>
      </c>
      <c r="W5" s="89" t="s">
        <v>0</v>
      </c>
      <c r="X5" s="81"/>
      <c r="Y5" s="83"/>
    </row>
    <row r="6" spans="1:25" ht="37.5" customHeight="1" thickBot="1" x14ac:dyDescent="0.3">
      <c r="A6" s="104"/>
      <c r="B6" s="133" t="s">
        <v>18</v>
      </c>
      <c r="C6" s="42" t="s">
        <v>33</v>
      </c>
      <c r="D6" s="42" t="s">
        <v>34</v>
      </c>
      <c r="E6" s="43" t="s">
        <v>61</v>
      </c>
      <c r="F6" s="88"/>
      <c r="G6" s="90"/>
      <c r="H6" s="88"/>
      <c r="I6" s="90"/>
      <c r="J6" s="88"/>
      <c r="K6" s="90"/>
      <c r="L6" s="88"/>
      <c r="M6" s="90"/>
      <c r="N6" s="88"/>
      <c r="O6" s="90"/>
      <c r="P6" s="88"/>
      <c r="Q6" s="90"/>
      <c r="R6" s="88"/>
      <c r="S6" s="90"/>
      <c r="T6" s="88"/>
      <c r="U6" s="90"/>
      <c r="V6" s="88"/>
      <c r="W6" s="90"/>
      <c r="X6" s="81"/>
      <c r="Y6" s="83"/>
    </row>
    <row r="7" spans="1:25" s="2" customFormat="1" ht="20.100000000000001" customHeight="1" x14ac:dyDescent="0.25">
      <c r="A7" s="134" t="s">
        <v>20</v>
      </c>
      <c r="B7" s="24">
        <v>1</v>
      </c>
      <c r="C7" s="121"/>
      <c r="D7" s="121"/>
      <c r="E7" s="122"/>
      <c r="F7" s="44">
        <f>((4.03*3.36)+(1.165*3.36*4)+(3.55*3.36))/1000</f>
        <v>4.1126399999999994E-2</v>
      </c>
      <c r="G7" s="45">
        <f t="shared" ref="G7:G14" si="0">F7*$B7</f>
        <v>4.1126399999999994E-2</v>
      </c>
      <c r="H7" s="44"/>
      <c r="I7" s="45"/>
      <c r="J7" s="44">
        <f>((0.975*1.08*6)+(0.398*1.08*2))/1000</f>
        <v>7.1776799999999997E-3</v>
      </c>
      <c r="K7" s="45">
        <f t="shared" ref="K7:K12" si="1">B7*J7</f>
        <v>7.1776799999999997E-3</v>
      </c>
      <c r="L7" s="44">
        <f>0.865*0.605*17/1000</f>
        <v>8.8965249999999989E-3</v>
      </c>
      <c r="M7" s="45">
        <f>L7*$B7</f>
        <v>8.8965249999999989E-3</v>
      </c>
      <c r="N7" s="56">
        <f>0.115*0.61*4/1000</f>
        <v>2.8059999999999999E-4</v>
      </c>
      <c r="O7" s="57">
        <f>B7*N7</f>
        <v>2.8059999999999999E-4</v>
      </c>
      <c r="P7" s="63"/>
      <c r="Q7" s="59"/>
      <c r="R7" s="123">
        <f>((6*0.3)+(1*0.38))/1000</f>
        <v>2.1799999999999996E-3</v>
      </c>
      <c r="S7" s="124">
        <f>R7*B7</f>
        <v>2.1799999999999996E-3</v>
      </c>
      <c r="T7" s="125"/>
      <c r="U7" s="126"/>
      <c r="V7" s="125"/>
      <c r="W7" s="126"/>
      <c r="X7" s="55">
        <f>F7+J7+L7+N7+R7</f>
        <v>5.9661204999999988E-2</v>
      </c>
      <c r="Y7" s="12" t="s">
        <v>53</v>
      </c>
    </row>
    <row r="8" spans="1:25" s="2" customFormat="1" ht="20.100000000000001" customHeight="1" x14ac:dyDescent="0.25">
      <c r="A8" s="134" t="s">
        <v>21</v>
      </c>
      <c r="B8" s="33">
        <f>11</f>
        <v>11</v>
      </c>
      <c r="C8" s="127"/>
      <c r="D8" s="127"/>
      <c r="E8" s="128"/>
      <c r="F8" s="44">
        <f>(0.35*3.36+0.52*3.36)/1000</f>
        <v>2.9231999999999999E-3</v>
      </c>
      <c r="G8" s="45">
        <f t="shared" si="0"/>
        <v>3.2155200000000002E-2</v>
      </c>
      <c r="H8" s="44"/>
      <c r="I8" s="45"/>
      <c r="J8" s="51">
        <f>0.33*1.08*2/1000</f>
        <v>7.1280000000000009E-4</v>
      </c>
      <c r="K8" s="52">
        <f t="shared" si="1"/>
        <v>7.8408000000000002E-3</v>
      </c>
      <c r="L8" s="51">
        <f>0.86*0.605/1000</f>
        <v>5.2030000000000002E-4</v>
      </c>
      <c r="M8" s="52">
        <f>L8*$B8</f>
        <v>5.7233000000000006E-3</v>
      </c>
      <c r="N8" s="58"/>
      <c r="O8" s="59"/>
      <c r="P8" s="56"/>
      <c r="Q8" s="57"/>
      <c r="R8" s="125"/>
      <c r="S8" s="126"/>
      <c r="T8" s="125"/>
      <c r="U8" s="126"/>
      <c r="V8" s="125"/>
      <c r="W8" s="126"/>
      <c r="X8" s="55">
        <f>F8+J8+L8</f>
        <v>4.1562999999999999E-3</v>
      </c>
      <c r="Y8" s="12" t="s">
        <v>56</v>
      </c>
    </row>
    <row r="9" spans="1:25" s="2" customFormat="1" ht="20.100000000000001" customHeight="1" x14ac:dyDescent="0.25">
      <c r="A9" s="134" t="s">
        <v>22</v>
      </c>
      <c r="B9" s="33">
        <v>9</v>
      </c>
      <c r="C9" s="127"/>
      <c r="D9" s="127"/>
      <c r="E9" s="128"/>
      <c r="F9" s="44">
        <f>((3.535*3.36)+(1.165*3.36*4)+(3.705*3.36))/1000</f>
        <v>3.9983999999999999E-2</v>
      </c>
      <c r="G9" s="45">
        <f t="shared" si="0"/>
        <v>0.35985600000000001</v>
      </c>
      <c r="H9" s="44"/>
      <c r="I9" s="45"/>
      <c r="J9" s="44">
        <f>((0.975*1.08*4)+(0.398*1.08*4)+(0.64*1.08*2))/1000</f>
        <v>7.3137599999999999E-3</v>
      </c>
      <c r="K9" s="45">
        <f t="shared" si="1"/>
        <v>6.5823839999999995E-2</v>
      </c>
      <c r="L9" s="44">
        <f>0.865*0.605*17/1000</f>
        <v>8.8965249999999989E-3</v>
      </c>
      <c r="M9" s="45">
        <f>L9*$B9</f>
        <v>8.0068724999999993E-2</v>
      </c>
      <c r="N9" s="56">
        <f>0.115*0.61*4/1000</f>
        <v>2.8059999999999999E-4</v>
      </c>
      <c r="O9" s="59">
        <f>B9*N9</f>
        <v>2.5253999999999997E-3</v>
      </c>
      <c r="P9" s="56"/>
      <c r="Q9" s="57"/>
      <c r="R9" s="123">
        <f>(8*0.3)/1000</f>
        <v>2.3999999999999998E-3</v>
      </c>
      <c r="S9" s="126">
        <f>B9*R9</f>
        <v>2.1599999999999998E-2</v>
      </c>
      <c r="T9" s="125"/>
      <c r="U9" s="126"/>
      <c r="V9" s="125"/>
      <c r="W9" s="126"/>
      <c r="X9" s="55">
        <f>F9+J9+L9+N9+R9</f>
        <v>5.8874884999999995E-2</v>
      </c>
      <c r="Y9" s="12" t="s">
        <v>57</v>
      </c>
    </row>
    <row r="10" spans="1:25" s="2" customFormat="1" ht="20.100000000000001" customHeight="1" x14ac:dyDescent="0.25">
      <c r="A10" s="134" t="s">
        <v>23</v>
      </c>
      <c r="B10" s="33">
        <v>1</v>
      </c>
      <c r="C10" s="127"/>
      <c r="D10" s="127"/>
      <c r="E10" s="128"/>
      <c r="F10" s="44">
        <f>((4.25*3.36)+(1.165*3.36*5)+(4.42*3.36*1))/1000</f>
        <v>4.8703199999999995E-2</v>
      </c>
      <c r="G10" s="45">
        <f t="shared" si="0"/>
        <v>4.8703199999999995E-2</v>
      </c>
      <c r="H10" s="44"/>
      <c r="I10" s="45"/>
      <c r="J10" s="44">
        <f>((0.975*1.08*4)+(0.398*1.08*2)+(0.64*1.08*2)+(0.9*1.08*2)+(0.175*1.08*2))/1000</f>
        <v>8.7760800000000003E-3</v>
      </c>
      <c r="K10" s="45">
        <f t="shared" si="1"/>
        <v>8.7760800000000003E-3</v>
      </c>
      <c r="L10" s="44">
        <f>0.865*0.605*21/1000</f>
        <v>1.0989824999999998E-2</v>
      </c>
      <c r="M10" s="45">
        <f>L10*$B10</f>
        <v>1.0989824999999998E-2</v>
      </c>
      <c r="N10" s="60">
        <f>0.115*0.61*5/1000</f>
        <v>3.5074999999999999E-4</v>
      </c>
      <c r="O10" s="61">
        <f>B10*N10</f>
        <v>3.5074999999999999E-4</v>
      </c>
      <c r="P10" s="56"/>
      <c r="Q10" s="57"/>
      <c r="R10" s="123">
        <f>((8*0.3)+(1*0.38))/1000</f>
        <v>2.7799999999999999E-3</v>
      </c>
      <c r="S10" s="126">
        <f>B10*R10</f>
        <v>2.7799999999999999E-3</v>
      </c>
      <c r="T10" s="125"/>
      <c r="U10" s="126"/>
      <c r="V10" s="125"/>
      <c r="W10" s="126"/>
      <c r="X10" s="55">
        <f>F10+J10+L10+N10+R10</f>
        <v>7.159985499999999E-2</v>
      </c>
      <c r="Y10" s="12" t="s">
        <v>58</v>
      </c>
    </row>
    <row r="11" spans="1:25" s="2" customFormat="1" ht="20.100000000000001" customHeight="1" x14ac:dyDescent="0.25">
      <c r="A11" s="134" t="s">
        <v>24</v>
      </c>
      <c r="B11" s="33">
        <v>1</v>
      </c>
      <c r="C11" s="127"/>
      <c r="D11" s="127"/>
      <c r="E11" s="128"/>
      <c r="F11" s="44">
        <f>((3.2*3.36)+(1.165*3.36*3)+(3.395*3.36*1))/1000</f>
        <v>3.3902399999999999E-2</v>
      </c>
      <c r="G11" s="45">
        <f t="shared" si="0"/>
        <v>3.3902399999999999E-2</v>
      </c>
      <c r="H11" s="44"/>
      <c r="I11" s="45"/>
      <c r="J11" s="44">
        <f>((0.28*1.08*2)+(1.21*1.08*4)+(0.39*1.08*2))/1000</f>
        <v>6.6744000000000005E-3</v>
      </c>
      <c r="K11" s="45">
        <f t="shared" si="1"/>
        <v>6.6744000000000005E-3</v>
      </c>
      <c r="L11" s="44">
        <f>0.87*0.605*12/1000</f>
        <v>6.3162000000000001E-3</v>
      </c>
      <c r="M11" s="45">
        <f t="shared" ref="M11" si="2">L11*$B11</f>
        <v>6.3162000000000001E-3</v>
      </c>
      <c r="N11" s="60">
        <f>0.115*0.61*3/1000</f>
        <v>2.1045000000000002E-4</v>
      </c>
      <c r="O11" s="61">
        <f>B11*N11</f>
        <v>2.1045000000000002E-4</v>
      </c>
      <c r="P11" s="63"/>
      <c r="Q11" s="59"/>
      <c r="R11" s="125"/>
      <c r="S11" s="126"/>
      <c r="T11" s="125"/>
      <c r="U11" s="126"/>
      <c r="V11" s="123"/>
      <c r="W11" s="124"/>
      <c r="X11" s="55">
        <f>F11+J11+L11+N11</f>
        <v>4.7103449999999998E-2</v>
      </c>
      <c r="Y11" s="12" t="s">
        <v>59</v>
      </c>
    </row>
    <row r="12" spans="1:25" s="2" customFormat="1" ht="20.100000000000001" customHeight="1" x14ac:dyDescent="0.25">
      <c r="A12" s="134" t="s">
        <v>64</v>
      </c>
      <c r="B12" s="129">
        <v>1</v>
      </c>
      <c r="C12" s="130"/>
      <c r="D12" s="13"/>
      <c r="E12" s="48"/>
      <c r="F12" s="44">
        <f>((1.475*3.36)+(1.405*3.36*2)+(1.56*3.36*1))/1000</f>
        <v>1.9639200000000002E-2</v>
      </c>
      <c r="G12" s="45">
        <f t="shared" si="0"/>
        <v>1.9639200000000002E-2</v>
      </c>
      <c r="H12" s="44"/>
      <c r="I12" s="45"/>
      <c r="J12" s="44">
        <f>((0.735*1.08*2)+(0.59*1.08*1)+(0.84*1.08*1))/1000</f>
        <v>3.1320000000000002E-3</v>
      </c>
      <c r="K12" s="45">
        <f t="shared" si="1"/>
        <v>3.1320000000000002E-3</v>
      </c>
      <c r="L12" s="44">
        <f>((1.11*0.605*5)+(0.86*0.605*2))/1000</f>
        <v>4.3983500000000005E-3</v>
      </c>
      <c r="M12" s="45">
        <f>B12*L12</f>
        <v>4.3983500000000005E-3</v>
      </c>
      <c r="N12" s="60">
        <f>0.115*0.61*3/1000</f>
        <v>2.1045000000000002E-4</v>
      </c>
      <c r="O12" s="62">
        <f>B12*N12</f>
        <v>2.1045000000000002E-4</v>
      </c>
      <c r="P12" s="53"/>
      <c r="Q12" s="45"/>
      <c r="R12" s="123">
        <f>2*0.38/1000</f>
        <v>7.6000000000000004E-4</v>
      </c>
      <c r="S12" s="52">
        <f>B12*R12</f>
        <v>7.6000000000000004E-4</v>
      </c>
      <c r="T12" s="44"/>
      <c r="U12" s="45"/>
      <c r="V12" s="64">
        <f>0.2*0.395*2/1000</f>
        <v>1.5800000000000002E-4</v>
      </c>
      <c r="W12" s="62">
        <f>B12*V12</f>
        <v>1.5800000000000002E-4</v>
      </c>
      <c r="X12" s="55">
        <f>F12+J12+L12+N12+R12+V12</f>
        <v>2.8298E-2</v>
      </c>
      <c r="Y12" s="12" t="s">
        <v>60</v>
      </c>
    </row>
    <row r="13" spans="1:25" s="2" customFormat="1" ht="20.100000000000001" customHeight="1" x14ac:dyDescent="0.25">
      <c r="A13" s="134" t="s">
        <v>26</v>
      </c>
      <c r="B13" s="33">
        <v>2</v>
      </c>
      <c r="C13" s="127"/>
      <c r="D13" s="127"/>
      <c r="E13" s="128"/>
      <c r="F13" s="44">
        <f>8.5*3.36/1000</f>
        <v>2.8559999999999999E-2</v>
      </c>
      <c r="G13" s="45">
        <f t="shared" si="0"/>
        <v>5.7119999999999997E-2</v>
      </c>
      <c r="H13" s="44">
        <f>4*2.42/1000</f>
        <v>9.6799999999999994E-3</v>
      </c>
      <c r="I13" s="45">
        <f>H13*$B13</f>
        <v>1.9359999999999999E-2</v>
      </c>
      <c r="J13" s="53"/>
      <c r="K13" s="45"/>
      <c r="L13" s="44">
        <f>7.7*0.605/1000</f>
        <v>4.6585000000000003E-3</v>
      </c>
      <c r="M13" s="45">
        <f>L13*$B13</f>
        <v>9.3170000000000006E-3</v>
      </c>
      <c r="N13" s="58"/>
      <c r="O13" s="59"/>
      <c r="P13" s="56">
        <f>4*0.37/1000</f>
        <v>1.48E-3</v>
      </c>
      <c r="Q13" s="57">
        <f>P13*B13</f>
        <v>2.96E-3</v>
      </c>
      <c r="R13" s="60">
        <f>2*0.06/1000</f>
        <v>1.1999999999999999E-4</v>
      </c>
      <c r="S13" s="61">
        <f>R13*B13</f>
        <v>2.3999999999999998E-4</v>
      </c>
      <c r="T13" s="125"/>
      <c r="U13" s="126"/>
      <c r="V13" s="125"/>
      <c r="W13" s="126"/>
      <c r="X13" s="55">
        <f>F13+H13+L13+P13+R13</f>
        <v>4.4498500000000003E-2</v>
      </c>
      <c r="Y13" s="12" t="s">
        <v>62</v>
      </c>
    </row>
    <row r="14" spans="1:25" s="2" customFormat="1" ht="20.100000000000001" customHeight="1" x14ac:dyDescent="0.25">
      <c r="A14" s="134" t="s">
        <v>25</v>
      </c>
      <c r="B14" s="33">
        <v>2</v>
      </c>
      <c r="C14" s="127"/>
      <c r="D14" s="127"/>
      <c r="E14" s="128"/>
      <c r="F14" s="44">
        <f>8.5*3.36/1000</f>
        <v>2.8559999999999999E-2</v>
      </c>
      <c r="G14" s="45">
        <f t="shared" si="0"/>
        <v>5.7119999999999997E-2</v>
      </c>
      <c r="H14" s="44">
        <f>4*2.42/1000</f>
        <v>9.6799999999999994E-3</v>
      </c>
      <c r="I14" s="45">
        <f>H14*$B14</f>
        <v>1.9359999999999999E-2</v>
      </c>
      <c r="J14" s="53"/>
      <c r="K14" s="45"/>
      <c r="L14" s="44">
        <f>7.7*0.605/1000</f>
        <v>4.6585000000000003E-3</v>
      </c>
      <c r="M14" s="45">
        <f>L14*$B14</f>
        <v>9.3170000000000006E-3</v>
      </c>
      <c r="N14" s="58"/>
      <c r="O14" s="59"/>
      <c r="P14" s="56">
        <f>4*0.37/1000</f>
        <v>1.48E-3</v>
      </c>
      <c r="Q14" s="57">
        <f>P14*B14</f>
        <v>2.96E-3</v>
      </c>
      <c r="R14" s="60">
        <f>2*0.06/1000</f>
        <v>1.1999999999999999E-4</v>
      </c>
      <c r="S14" s="61">
        <f>R14*B14</f>
        <v>2.3999999999999998E-4</v>
      </c>
      <c r="T14" s="125"/>
      <c r="U14" s="126"/>
      <c r="V14" s="125"/>
      <c r="W14" s="126"/>
      <c r="X14" s="55">
        <f>F14+H14+L14+P14+R14</f>
        <v>4.4498500000000003E-2</v>
      </c>
      <c r="Y14" s="12" t="s">
        <v>62</v>
      </c>
    </row>
    <row r="15" spans="1:25" s="2" customFormat="1" ht="20.100000000000001" customHeight="1" x14ac:dyDescent="0.25">
      <c r="A15" s="134" t="s">
        <v>5</v>
      </c>
      <c r="B15" s="33"/>
      <c r="C15" s="127">
        <f>1+1*2+2*1+1</f>
        <v>6</v>
      </c>
      <c r="D15" s="127"/>
      <c r="E15" s="128"/>
      <c r="F15" s="44">
        <f>1.1*3.36/1000</f>
        <v>3.6960000000000001E-3</v>
      </c>
      <c r="G15" s="45">
        <f>F15*C15</f>
        <v>2.2176000000000001E-2</v>
      </c>
      <c r="H15" s="44">
        <f>5.1*2.42/1000</f>
        <v>1.2341999999999999E-2</v>
      </c>
      <c r="I15" s="45">
        <f>H15*C15</f>
        <v>7.4051999999999993E-2</v>
      </c>
      <c r="J15" s="53"/>
      <c r="K15" s="45"/>
      <c r="L15" s="44">
        <f>4.5*0.605/1000</f>
        <v>2.7225000000000001E-3</v>
      </c>
      <c r="M15" s="45">
        <f>L15*C15</f>
        <v>1.6335000000000002E-2</v>
      </c>
      <c r="N15" s="58"/>
      <c r="O15" s="59"/>
      <c r="P15" s="131"/>
      <c r="Q15" s="126"/>
      <c r="R15" s="131"/>
      <c r="S15" s="126"/>
      <c r="T15" s="125">
        <f>2*0.68/1000</f>
        <v>1.3600000000000001E-3</v>
      </c>
      <c r="U15" s="126">
        <f>T15*C15</f>
        <v>8.1600000000000006E-3</v>
      </c>
      <c r="V15" s="125"/>
      <c r="W15" s="126"/>
      <c r="X15" s="55">
        <f>F15+H15+L15+T15</f>
        <v>2.0120499999999999E-2</v>
      </c>
      <c r="Y15" s="12" t="s">
        <v>62</v>
      </c>
    </row>
    <row r="16" spans="1:25" s="2" customFormat="1" ht="20.100000000000001" customHeight="1" x14ac:dyDescent="0.25">
      <c r="A16" s="134" t="s">
        <v>27</v>
      </c>
      <c r="B16" s="33"/>
      <c r="C16" s="127">
        <f>1+1*2+2*1+1</f>
        <v>6</v>
      </c>
      <c r="D16" s="127"/>
      <c r="E16" s="128"/>
      <c r="F16" s="44">
        <f>1.1*3.36/1000</f>
        <v>3.6960000000000001E-3</v>
      </c>
      <c r="G16" s="45">
        <f>F16*C16</f>
        <v>2.2176000000000001E-2</v>
      </c>
      <c r="H16" s="44">
        <f>5.1*2.42/1000</f>
        <v>1.2341999999999999E-2</v>
      </c>
      <c r="I16" s="45">
        <f>H16*C16</f>
        <v>7.4051999999999993E-2</v>
      </c>
      <c r="J16" s="53"/>
      <c r="K16" s="45"/>
      <c r="L16" s="44">
        <f>4.5*0.605/1000</f>
        <v>2.7225000000000001E-3</v>
      </c>
      <c r="M16" s="45">
        <f>L16*C16</f>
        <v>1.6335000000000002E-2</v>
      </c>
      <c r="N16" s="58"/>
      <c r="O16" s="59"/>
      <c r="P16" s="131"/>
      <c r="Q16" s="126"/>
      <c r="R16" s="131"/>
      <c r="S16" s="126"/>
      <c r="T16" s="125">
        <f>2*0.68/1000</f>
        <v>1.3600000000000001E-3</v>
      </c>
      <c r="U16" s="126">
        <f>T16*C16</f>
        <v>8.1600000000000006E-3</v>
      </c>
      <c r="V16" s="125"/>
      <c r="W16" s="126"/>
      <c r="X16" s="55">
        <f>F16+H16+L16+T16</f>
        <v>2.0120499999999999E-2</v>
      </c>
      <c r="Y16" s="12" t="s">
        <v>62</v>
      </c>
    </row>
    <row r="17" spans="1:25" s="2" customFormat="1" ht="20.100000000000001" customHeight="1" x14ac:dyDescent="0.25">
      <c r="A17" s="134" t="s">
        <v>6</v>
      </c>
      <c r="B17" s="129"/>
      <c r="C17" s="130"/>
      <c r="D17" s="13"/>
      <c r="E17" s="48">
        <v>5</v>
      </c>
      <c r="F17" s="44">
        <f>6.1*3.36/1000</f>
        <v>2.0496E-2</v>
      </c>
      <c r="G17" s="45">
        <f>E17*F17</f>
        <v>0.10248</v>
      </c>
      <c r="H17" s="44">
        <f>24.8*2.42/1000</f>
        <v>6.0016E-2</v>
      </c>
      <c r="I17" s="45">
        <f>E17*H17</f>
        <v>0.30008000000000001</v>
      </c>
      <c r="J17" s="53"/>
      <c r="K17" s="45"/>
      <c r="L17" s="44">
        <f>26.3*0.605/1000</f>
        <v>1.5911499999999999E-2</v>
      </c>
      <c r="M17" s="45">
        <f>E17*L17</f>
        <v>7.9557499999999989E-2</v>
      </c>
      <c r="N17" s="53"/>
      <c r="O17" s="45"/>
      <c r="P17" s="53"/>
      <c r="Q17" s="45"/>
      <c r="R17" s="53"/>
      <c r="S17" s="45"/>
      <c r="T17" s="125">
        <f>6*0.68/1000</f>
        <v>4.0800000000000003E-3</v>
      </c>
      <c r="U17" s="52">
        <f>E17*T17</f>
        <v>2.0400000000000001E-2</v>
      </c>
      <c r="V17" s="51">
        <f>0.35*0.395*2/1000</f>
        <v>2.7649999999999994E-4</v>
      </c>
      <c r="W17" s="52">
        <f>E17*V17</f>
        <v>1.3824999999999996E-3</v>
      </c>
      <c r="X17" s="55">
        <f>F17+H17+L17+T17</f>
        <v>0.1005035</v>
      </c>
      <c r="Y17" s="12" t="s">
        <v>62</v>
      </c>
    </row>
    <row r="18" spans="1:25" s="2" customFormat="1" ht="20.100000000000001" customHeight="1" x14ac:dyDescent="0.25">
      <c r="A18" s="134" t="s">
        <v>7</v>
      </c>
      <c r="B18" s="129"/>
      <c r="C18" s="130"/>
      <c r="D18" s="13">
        <v>6</v>
      </c>
      <c r="E18" s="48"/>
      <c r="F18" s="44">
        <f>4.1*3.36/1000</f>
        <v>1.3775999999999998E-2</v>
      </c>
      <c r="G18" s="45">
        <f>F18*$D18</f>
        <v>8.2655999999999993E-2</v>
      </c>
      <c r="H18" s="44">
        <f>17.8*2.42/1000</f>
        <v>4.3076000000000003E-2</v>
      </c>
      <c r="I18" s="45">
        <f>H18*$D18</f>
        <v>0.25845600000000002</v>
      </c>
      <c r="J18" s="53"/>
      <c r="K18" s="45"/>
      <c r="L18" s="44">
        <f>16.5*0.605/1000</f>
        <v>9.9825000000000001E-3</v>
      </c>
      <c r="M18" s="45">
        <f>L18*$D18</f>
        <v>5.9895000000000004E-2</v>
      </c>
      <c r="N18" s="53"/>
      <c r="O18" s="45"/>
      <c r="P18" s="53"/>
      <c r="Q18" s="45"/>
      <c r="R18" s="53"/>
      <c r="S18" s="45"/>
      <c r="T18" s="44">
        <f>5*0.68/1000</f>
        <v>3.4000000000000002E-3</v>
      </c>
      <c r="U18" s="45">
        <f>T18*$D18</f>
        <v>2.0400000000000001E-2</v>
      </c>
      <c r="V18" s="51">
        <f t="shared" ref="V18:V20" si="3">0.35*0.395*2/1000</f>
        <v>2.7649999999999994E-4</v>
      </c>
      <c r="W18" s="45">
        <f>V18*$D18</f>
        <v>1.6589999999999997E-3</v>
      </c>
      <c r="X18" s="138">
        <f>F18+H18+L18+T18+V18</f>
        <v>7.0511000000000004E-2</v>
      </c>
      <c r="Y18" s="132" t="s">
        <v>62</v>
      </c>
    </row>
    <row r="19" spans="1:25" s="2" customFormat="1" ht="20.100000000000001" customHeight="1" x14ac:dyDescent="0.25">
      <c r="A19" s="134" t="s">
        <v>65</v>
      </c>
      <c r="B19" s="129"/>
      <c r="C19" s="130"/>
      <c r="D19" s="13">
        <f>1*2+1</f>
        <v>3</v>
      </c>
      <c r="E19" s="48"/>
      <c r="F19" s="44">
        <f>5.2*3.36/1000</f>
        <v>1.7472000000000001E-2</v>
      </c>
      <c r="G19" s="45">
        <f>F19*$D19</f>
        <v>5.2416000000000004E-2</v>
      </c>
      <c r="H19" s="44">
        <f>22.1*2.42/1000</f>
        <v>5.3482000000000002E-2</v>
      </c>
      <c r="I19" s="45">
        <f>H19*$D19</f>
        <v>0.16044600000000001</v>
      </c>
      <c r="J19" s="53"/>
      <c r="K19" s="45"/>
      <c r="L19" s="44">
        <f>21*0.605/1000</f>
        <v>1.2704999999999999E-2</v>
      </c>
      <c r="M19" s="45">
        <f>L19*$D19</f>
        <v>3.8114999999999996E-2</v>
      </c>
      <c r="N19" s="53"/>
      <c r="O19" s="45"/>
      <c r="P19" s="53"/>
      <c r="Q19" s="45"/>
      <c r="R19" s="53"/>
      <c r="S19" s="45"/>
      <c r="T19" s="44">
        <f>6*0.68/1000</f>
        <v>4.0800000000000003E-3</v>
      </c>
      <c r="U19" s="45">
        <f>T19*$D19</f>
        <v>1.2240000000000001E-2</v>
      </c>
      <c r="V19" s="51">
        <f t="shared" si="3"/>
        <v>2.7649999999999994E-4</v>
      </c>
      <c r="W19" s="45">
        <f>V19*$D19</f>
        <v>8.2949999999999983E-4</v>
      </c>
      <c r="X19" s="138">
        <f>F19+H19+L19+T19</f>
        <v>8.7738999999999998E-2</v>
      </c>
      <c r="Y19" s="132" t="s">
        <v>62</v>
      </c>
    </row>
    <row r="20" spans="1:25" s="2" customFormat="1" ht="20.100000000000001" customHeight="1" thickBot="1" x14ac:dyDescent="0.3">
      <c r="A20" s="135" t="s">
        <v>66</v>
      </c>
      <c r="B20" s="136"/>
      <c r="C20" s="137"/>
      <c r="D20" s="49">
        <f>1*2+1</f>
        <v>3</v>
      </c>
      <c r="E20" s="50"/>
      <c r="F20" s="46">
        <f>5.5*3.36/1000</f>
        <v>1.848E-2</v>
      </c>
      <c r="G20" s="47">
        <f>F20*$D20</f>
        <v>5.5440000000000003E-2</v>
      </c>
      <c r="H20" s="46">
        <f>23.1*2.42/1000</f>
        <v>5.5902E-2</v>
      </c>
      <c r="I20" s="47">
        <f>H20*$D20</f>
        <v>0.16770599999999999</v>
      </c>
      <c r="J20" s="54"/>
      <c r="K20" s="47"/>
      <c r="L20" s="46">
        <f>22.5*0.605/1000</f>
        <v>1.36125E-2</v>
      </c>
      <c r="M20" s="47">
        <f>L20*$D20</f>
        <v>4.0837499999999999E-2</v>
      </c>
      <c r="N20" s="54"/>
      <c r="O20" s="47"/>
      <c r="P20" s="54"/>
      <c r="Q20" s="47"/>
      <c r="R20" s="54"/>
      <c r="S20" s="47"/>
      <c r="T20" s="46">
        <f>6*0.68/1000</f>
        <v>4.0800000000000003E-3</v>
      </c>
      <c r="U20" s="47">
        <f>T20*$D20</f>
        <v>1.2240000000000001E-2</v>
      </c>
      <c r="V20" s="65">
        <f t="shared" si="3"/>
        <v>2.7649999999999994E-4</v>
      </c>
      <c r="W20" s="47">
        <f>V20*$D20</f>
        <v>8.2949999999999983E-4</v>
      </c>
      <c r="X20" s="138">
        <f>F20+H20+L20+T20</f>
        <v>9.2074500000000004E-2</v>
      </c>
      <c r="Y20" s="132" t="s">
        <v>62</v>
      </c>
    </row>
    <row r="21" spans="1:25" ht="20.100000000000001" customHeight="1" thickBot="1" x14ac:dyDescent="0.3">
      <c r="A21" s="117" t="s">
        <v>4</v>
      </c>
      <c r="B21" s="118">
        <f>SUM(B7:B20)</f>
        <v>28</v>
      </c>
      <c r="C21" s="118">
        <f>SUM(C7:C20)</f>
        <v>12</v>
      </c>
      <c r="D21" s="118">
        <f>SUM(D7:D20)</f>
        <v>12</v>
      </c>
      <c r="E21" s="119">
        <f>SUM(E7:E20)</f>
        <v>5</v>
      </c>
      <c r="F21" s="66"/>
      <c r="G21" s="120">
        <f>SUM(G7:G20)</f>
        <v>0.9869663999999998</v>
      </c>
      <c r="H21" s="67"/>
      <c r="I21" s="120">
        <f>SUM(I7:I20)</f>
        <v>1.073512</v>
      </c>
      <c r="J21" s="67"/>
      <c r="K21" s="120">
        <f>SUM(K7:K20)</f>
        <v>9.9424799999999994E-2</v>
      </c>
      <c r="L21" s="67"/>
      <c r="M21" s="120">
        <f>SUM(M7:M20)</f>
        <v>0.38610192499999996</v>
      </c>
      <c r="N21" s="67"/>
      <c r="O21" s="120">
        <f>SUM(O7:O20)</f>
        <v>3.5776499999999995E-3</v>
      </c>
      <c r="P21" s="67"/>
      <c r="Q21" s="120">
        <f>SUM(Q7:Q20)</f>
        <v>5.9199999999999999E-3</v>
      </c>
      <c r="R21" s="67"/>
      <c r="S21" s="120">
        <f>SUM(S7:S20)</f>
        <v>2.7799999999999998E-2</v>
      </c>
      <c r="T21" s="67"/>
      <c r="U21" s="120">
        <f>SUM(U7:U20)</f>
        <v>8.1600000000000006E-2</v>
      </c>
      <c r="V21" s="67"/>
      <c r="W21" s="120">
        <f>SUM(W7:W20)</f>
        <v>4.8584999999999982E-3</v>
      </c>
      <c r="X21" s="55"/>
      <c r="Y21" s="12"/>
    </row>
    <row r="22" spans="1:25" s="10" customFormat="1" ht="20.100000000000001" customHeight="1" thickBot="1" x14ac:dyDescent="0.3">
      <c r="A22" s="68" t="s">
        <v>9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70">
        <f>SUM(F21:W21)</f>
        <v>2.6697612749999999</v>
      </c>
      <c r="W22" s="71" t="s">
        <v>15</v>
      </c>
      <c r="X22" s="55"/>
      <c r="Y22" s="12"/>
    </row>
    <row r="23" spans="1:25" s="2" customFormat="1" x14ac:dyDescent="0.25"/>
    <row r="24" spans="1:25" s="40" customForma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U24" s="5"/>
      <c r="V24" s="5"/>
      <c r="W24" s="5"/>
      <c r="X24" s="5"/>
    </row>
    <row r="25" spans="1:25" s="40" customFormat="1" ht="56.25" customHeight="1" x14ac:dyDescent="0.25">
      <c r="A25" s="92" t="s">
        <v>16</v>
      </c>
      <c r="B25" s="92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7"/>
    </row>
    <row r="26" spans="1:25" s="6" customFormat="1" x14ac:dyDescent="0.25">
      <c r="A26" s="8"/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</sheetData>
  <mergeCells count="35">
    <mergeCell ref="A2:W2"/>
    <mergeCell ref="F3:W3"/>
    <mergeCell ref="T4:U4"/>
    <mergeCell ref="I5:I6"/>
    <mergeCell ref="F5:F6"/>
    <mergeCell ref="H5:H6"/>
    <mergeCell ref="V4:W4"/>
    <mergeCell ref="V5:V6"/>
    <mergeCell ref="W5:W6"/>
    <mergeCell ref="L4:M4"/>
    <mergeCell ref="L5:L6"/>
    <mergeCell ref="M5:M6"/>
    <mergeCell ref="U5:U6"/>
    <mergeCell ref="P4:Q4"/>
    <mergeCell ref="A3:E4"/>
    <mergeCell ref="A5:A6"/>
    <mergeCell ref="A25:W25"/>
    <mergeCell ref="P5:P6"/>
    <mergeCell ref="Q5:Q6"/>
    <mergeCell ref="R5:R6"/>
    <mergeCell ref="S5:S6"/>
    <mergeCell ref="G5:G6"/>
    <mergeCell ref="X3:X6"/>
    <mergeCell ref="Y3:Y6"/>
    <mergeCell ref="B5:E5"/>
    <mergeCell ref="J4:K4"/>
    <mergeCell ref="J5:J6"/>
    <mergeCell ref="K5:K6"/>
    <mergeCell ref="N4:O4"/>
    <mergeCell ref="N5:N6"/>
    <mergeCell ref="O5:O6"/>
    <mergeCell ref="R4:S4"/>
    <mergeCell ref="T5:T6"/>
    <mergeCell ref="H4:I4"/>
    <mergeCell ref="F4:G4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"/>
  <sheetViews>
    <sheetView zoomScale="85" zoomScaleNormal="85" workbookViewId="0">
      <selection activeCell="O14" sqref="O14"/>
    </sheetView>
  </sheetViews>
  <sheetFormatPr defaultColWidth="8.85546875" defaultRowHeight="15" x14ac:dyDescent="0.25"/>
  <cols>
    <col min="1" max="1" width="15.5703125" style="16" customWidth="1"/>
    <col min="2" max="2" width="13" style="16" bestFit="1" customWidth="1"/>
    <col min="3" max="4" width="20.140625" style="16" customWidth="1"/>
    <col min="5" max="5" width="19.85546875" style="16" customWidth="1"/>
    <col min="6" max="8" width="17.7109375" style="16" customWidth="1"/>
    <col min="9" max="9" width="19.5703125" style="16" customWidth="1"/>
    <col min="10" max="14" width="20.7109375" style="16" customWidth="1"/>
    <col min="15" max="15" width="13.7109375" style="16" customWidth="1"/>
    <col min="16" max="16384" width="8.85546875" style="16"/>
  </cols>
  <sheetData>
    <row r="1" spans="1:15" s="32" customFormat="1" ht="15.75" x14ac:dyDescent="0.25">
      <c r="A1" s="29"/>
      <c r="B1" s="29"/>
      <c r="C1" s="29"/>
      <c r="D1" s="29"/>
      <c r="E1" s="29"/>
      <c r="F1" s="29"/>
      <c r="G1" s="29"/>
      <c r="H1" s="29"/>
      <c r="I1" s="30"/>
      <c r="J1" s="30"/>
      <c r="K1" s="30"/>
      <c r="L1" s="30"/>
      <c r="M1" s="30"/>
      <c r="N1" s="30"/>
      <c r="O1" s="31" t="s">
        <v>51</v>
      </c>
    </row>
    <row r="2" spans="1:15" s="15" customFormat="1" ht="42" customHeight="1" thickBot="1" x14ac:dyDescent="0.3">
      <c r="A2" s="94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s="15" customFormat="1" ht="15.75" x14ac:dyDescent="0.25">
      <c r="A3" s="109" t="s">
        <v>2</v>
      </c>
      <c r="B3" s="110"/>
      <c r="C3" s="113" t="s">
        <v>8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</row>
    <row r="4" spans="1:15" s="15" customFormat="1" ht="30" customHeight="1" x14ac:dyDescent="0.25">
      <c r="A4" s="111"/>
      <c r="B4" s="112"/>
      <c r="C4" s="112" t="s">
        <v>35</v>
      </c>
      <c r="D4" s="78" t="s">
        <v>69</v>
      </c>
      <c r="E4" s="112" t="s">
        <v>36</v>
      </c>
      <c r="F4" s="112" t="s">
        <v>63</v>
      </c>
      <c r="G4" s="112" t="s">
        <v>67</v>
      </c>
      <c r="H4" s="112" t="s">
        <v>70</v>
      </c>
      <c r="I4" s="112" t="s">
        <v>37</v>
      </c>
      <c r="J4" s="112" t="s">
        <v>38</v>
      </c>
      <c r="K4" s="112" t="s">
        <v>39</v>
      </c>
      <c r="L4" s="112" t="s">
        <v>40</v>
      </c>
      <c r="M4" s="112" t="s">
        <v>73</v>
      </c>
      <c r="N4" s="78" t="s">
        <v>71</v>
      </c>
      <c r="O4" s="107" t="s">
        <v>41</v>
      </c>
    </row>
    <row r="5" spans="1:15" s="15" customFormat="1" ht="16.5" customHeight="1" thickBot="1" x14ac:dyDescent="0.3">
      <c r="A5" s="17" t="s">
        <v>1</v>
      </c>
      <c r="B5" s="18" t="s">
        <v>42</v>
      </c>
      <c r="C5" s="116"/>
      <c r="D5" s="79" t="s">
        <v>68</v>
      </c>
      <c r="E5" s="116"/>
      <c r="F5" s="116"/>
      <c r="G5" s="116"/>
      <c r="H5" s="116"/>
      <c r="I5" s="116"/>
      <c r="J5" s="116"/>
      <c r="K5" s="116"/>
      <c r="L5" s="116"/>
      <c r="M5" s="116"/>
      <c r="N5" s="79" t="s">
        <v>72</v>
      </c>
      <c r="O5" s="108"/>
    </row>
    <row r="6" spans="1:15" s="29" customFormat="1" ht="15.75" x14ac:dyDescent="0.25">
      <c r="A6" s="74" t="s">
        <v>43</v>
      </c>
      <c r="B6" s="24">
        <v>1</v>
      </c>
      <c r="C6" s="26">
        <f>2.42*9.1/1000</f>
        <v>2.2022E-2</v>
      </c>
      <c r="D6" s="26"/>
      <c r="E6" s="26">
        <f>0.605*11.4/1000</f>
        <v>6.8970000000000004E-3</v>
      </c>
      <c r="F6" s="26">
        <f>4*0.12*0.09*62.8/1000</f>
        <v>2.7129599999999995E-3</v>
      </c>
      <c r="G6" s="26"/>
      <c r="H6" s="26"/>
      <c r="I6" s="27"/>
      <c r="J6" s="28"/>
      <c r="K6" s="28"/>
      <c r="L6" s="28"/>
      <c r="M6" s="28"/>
      <c r="N6" s="28"/>
      <c r="O6" s="75">
        <f>SUM(C6:N6)</f>
        <v>3.1631960000000001E-2</v>
      </c>
    </row>
    <row r="7" spans="1:15" s="29" customFormat="1" ht="15.75" x14ac:dyDescent="0.25">
      <c r="A7" s="76" t="s">
        <v>44</v>
      </c>
      <c r="B7" s="33">
        <v>1</v>
      </c>
      <c r="C7" s="11">
        <f>2.42*18.4/1000</f>
        <v>4.4527999999999998E-2</v>
      </c>
      <c r="D7" s="11"/>
      <c r="E7" s="11">
        <f>0.605*23.9/1000</f>
        <v>1.4459499999999998E-2</v>
      </c>
      <c r="F7" s="11">
        <f>7*0.12*0.09*62.8/1000</f>
        <v>4.7476799999999998E-3</v>
      </c>
      <c r="G7" s="11"/>
      <c r="H7" s="11"/>
      <c r="I7" s="11"/>
      <c r="J7" s="34"/>
      <c r="K7" s="34"/>
      <c r="L7" s="34"/>
      <c r="M7" s="34"/>
      <c r="N7" s="34"/>
      <c r="O7" s="73">
        <f>SUM(C7:N7)</f>
        <v>6.3735180000000002E-2</v>
      </c>
    </row>
    <row r="8" spans="1:15" s="29" customFormat="1" ht="15.75" x14ac:dyDescent="0.25">
      <c r="A8" s="76" t="s">
        <v>45</v>
      </c>
      <c r="B8" s="33">
        <v>1</v>
      </c>
      <c r="C8" s="11">
        <f>2.42*9.4/1000</f>
        <v>2.2748000000000001E-2</v>
      </c>
      <c r="D8" s="11"/>
      <c r="E8" s="11">
        <f>0.605*12/1000</f>
        <v>7.26E-3</v>
      </c>
      <c r="F8" s="11">
        <f>4*0.12*0.09*62.8/1000</f>
        <v>2.7129599999999995E-3</v>
      </c>
      <c r="G8" s="11"/>
      <c r="H8" s="11"/>
      <c r="I8" s="11"/>
      <c r="J8" s="34"/>
      <c r="K8" s="34"/>
      <c r="L8" s="34"/>
      <c r="M8" s="34"/>
      <c r="N8" s="34"/>
      <c r="O8" s="73">
        <f>SUM(C8:N8)</f>
        <v>3.272096E-2</v>
      </c>
    </row>
    <row r="9" spans="1:15" s="29" customFormat="1" ht="15.75" x14ac:dyDescent="0.25">
      <c r="A9" s="76" t="s">
        <v>46</v>
      </c>
      <c r="B9" s="33">
        <v>1</v>
      </c>
      <c r="C9" s="11">
        <f>2.42*19.3/1000</f>
        <v>4.6706000000000004E-2</v>
      </c>
      <c r="D9" s="11"/>
      <c r="E9" s="11">
        <f>0.605*24.5/1000</f>
        <v>1.4822500000000001E-2</v>
      </c>
      <c r="F9" s="11">
        <f>7*0.08*0.07*62.8/1000</f>
        <v>2.4617600000000003E-3</v>
      </c>
      <c r="G9" s="11"/>
      <c r="H9" s="11"/>
      <c r="I9" s="11"/>
      <c r="J9" s="11"/>
      <c r="K9" s="11"/>
      <c r="L9" s="11"/>
      <c r="M9" s="34"/>
      <c r="N9" s="34"/>
      <c r="O9" s="73">
        <f>SUM(C9:N9)</f>
        <v>6.3990260000000007E-2</v>
      </c>
    </row>
    <row r="10" spans="1:15" s="29" customFormat="1" ht="15.75" x14ac:dyDescent="0.25">
      <c r="A10" s="76" t="s">
        <v>47</v>
      </c>
      <c r="B10" s="33">
        <v>1</v>
      </c>
      <c r="C10" s="11">
        <f>2.42*6.6/1000</f>
        <v>1.5972E-2</v>
      </c>
      <c r="D10" s="139"/>
      <c r="E10" s="139"/>
      <c r="F10" s="11">
        <f>6*0.08*0.07*62.8/1000</f>
        <v>2.1100800000000003E-3</v>
      </c>
      <c r="G10" s="11"/>
      <c r="H10" s="11"/>
      <c r="I10" s="11">
        <f>8.1*3.49/1000</f>
        <v>2.8269000000000002E-2</v>
      </c>
      <c r="J10" s="11">
        <f>5.8*2.189/1000</f>
        <v>1.2696199999999999E-2</v>
      </c>
      <c r="K10" s="11">
        <f>3.3*1.819/1000</f>
        <v>6.0026999999999997E-3</v>
      </c>
      <c r="L10" s="11">
        <f>0.145*0.614*12/1000</f>
        <v>1.06836E-3</v>
      </c>
      <c r="M10" s="34"/>
      <c r="N10" s="34"/>
      <c r="O10" s="73">
        <f>SUM(C10:N10)</f>
        <v>6.6118340000000012E-2</v>
      </c>
    </row>
    <row r="11" spans="1:15" s="29" customFormat="1" ht="15.75" x14ac:dyDescent="0.25">
      <c r="A11" s="76" t="s">
        <v>52</v>
      </c>
      <c r="B11" s="77">
        <v>1</v>
      </c>
      <c r="C11" s="11">
        <f>2.42*11.2/1000</f>
        <v>2.7104E-2</v>
      </c>
      <c r="D11" s="11">
        <f>21.8*3.36/1000</f>
        <v>7.3248000000000008E-2</v>
      </c>
      <c r="E11" s="11">
        <f>0.605*23.2/1000</f>
        <v>1.4036E-2</v>
      </c>
      <c r="F11" s="11"/>
      <c r="G11" s="132">
        <f>0.37/1000</f>
        <v>3.6999999999999999E-4</v>
      </c>
      <c r="H11" s="132">
        <f>0.06/1000</f>
        <v>5.9999999999999995E-5</v>
      </c>
      <c r="I11" s="11"/>
      <c r="J11" s="11"/>
      <c r="K11" s="11"/>
      <c r="L11" s="11"/>
      <c r="M11" s="34">
        <f>0.63*8/1000</f>
        <v>5.0400000000000002E-3</v>
      </c>
      <c r="N11" s="80">
        <f>0.35*0.395*1/1000</f>
        <v>1.3824999999999997E-4</v>
      </c>
      <c r="O11" s="73">
        <f>SUM(C11:N11)</f>
        <v>0.11999625000000003</v>
      </c>
    </row>
    <row r="12" spans="1:15" s="29" customFormat="1" ht="16.5" thickBot="1" x14ac:dyDescent="0.3">
      <c r="A12" s="76" t="s">
        <v>19</v>
      </c>
      <c r="B12" s="25">
        <v>1</v>
      </c>
      <c r="C12" s="11">
        <f>2.42*10.4/1000</f>
        <v>2.5167999999999999E-2</v>
      </c>
      <c r="D12" s="11"/>
      <c r="E12" s="11"/>
      <c r="F12" s="11">
        <f>9*0.08*0.07*62.8/1000</f>
        <v>3.16512E-3</v>
      </c>
      <c r="G12" s="11"/>
      <c r="H12" s="11"/>
      <c r="I12" s="11">
        <f>11.9*3.49/1000</f>
        <v>4.1531000000000005E-2</v>
      </c>
      <c r="J12" s="11">
        <f>8.5*2.189/1000</f>
        <v>1.8606500000000002E-2</v>
      </c>
      <c r="K12" s="11">
        <f>5.2*1.819/1000</f>
        <v>9.4587999999999998E-3</v>
      </c>
      <c r="L12" s="11">
        <f>0.145*0.614*12/1000</f>
        <v>1.06836E-3</v>
      </c>
      <c r="M12" s="34"/>
      <c r="N12" s="34"/>
      <c r="O12" s="73">
        <f>SUM(C12:N12)</f>
        <v>9.8997780000000007E-2</v>
      </c>
    </row>
    <row r="13" spans="1:15" s="15" customFormat="1" ht="16.5" thickBot="1" x14ac:dyDescent="0.3">
      <c r="A13" s="19" t="s">
        <v>4</v>
      </c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41">
        <f>SUM(O6:O12)</f>
        <v>0.47719073000000001</v>
      </c>
    </row>
    <row r="14" spans="1:15" s="32" customFormat="1" ht="21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s="29" customFormat="1" ht="24" customHeight="1" x14ac:dyDescent="0.25">
      <c r="A15" s="36" t="s">
        <v>48</v>
      </c>
      <c r="B15" s="37"/>
      <c r="C15" s="37"/>
      <c r="D15" s="37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s="29" customFormat="1" ht="21" customHeight="1" x14ac:dyDescent="0.25">
      <c r="A16" s="92" t="s">
        <v>49</v>
      </c>
      <c r="B16" s="92"/>
      <c r="C16" s="93"/>
      <c r="D16" s="93"/>
      <c r="E16" s="93"/>
      <c r="F16" s="93"/>
      <c r="G16" s="93"/>
      <c r="H16" s="93"/>
      <c r="I16" s="93"/>
      <c r="J16" s="14"/>
      <c r="K16" s="14"/>
      <c r="L16" s="14"/>
      <c r="M16" s="72"/>
      <c r="N16" s="41"/>
      <c r="O16" s="38"/>
    </row>
    <row r="17" spans="1:15" s="29" customFormat="1" ht="35.25" customHeight="1" x14ac:dyDescent="0.25">
      <c r="A17" s="92" t="s">
        <v>50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spans="1:15" s="15" customFormat="1" ht="15.7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15" customFormat="1" ht="16.5" thickBot="1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05"/>
      <c r="M19" s="140"/>
      <c r="N19" s="106"/>
      <c r="O19" s="23"/>
    </row>
    <row r="20" spans="1:15" s="15" customFormat="1" ht="15.7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75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</sheetData>
  <mergeCells count="17">
    <mergeCell ref="M4:M5"/>
    <mergeCell ref="L19:N19"/>
    <mergeCell ref="O4:O5"/>
    <mergeCell ref="A16:I16"/>
    <mergeCell ref="A17:O17"/>
    <mergeCell ref="A2:O2"/>
    <mergeCell ref="A3:B4"/>
    <mergeCell ref="C3:O3"/>
    <mergeCell ref="C4:C5"/>
    <mergeCell ref="E4:E5"/>
    <mergeCell ref="F4:F5"/>
    <mergeCell ref="I4:I5"/>
    <mergeCell ref="J4:J5"/>
    <mergeCell ref="K4:K5"/>
    <mergeCell ref="L4:L5"/>
    <mergeCell ref="G4:G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Ограждения</vt:lpstr>
      <vt:lpstr>Ограждение крыльца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2025-07-21T10:47:01Z</dcterms:modified>
</cp:coreProperties>
</file>