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Служба закупок\!!!ТОРГИ\!ТОРГИ по номерам\Торги №3299_школа Нск Спортивная_ростверк\"/>
    </mc:Choice>
  </mc:AlternateContent>
  <bookViews>
    <workbookView xWindow="-120" yWindow="-120" windowWidth="29040" windowHeight="15720"/>
  </bookViews>
  <sheets>
    <sheet name="ВОР" sheetId="1" r:id="rId1"/>
    <sheet name="Каркасы" sheetId="9" state="hidden" r:id="rId2"/>
    <sheet name="Бетонная подготовка" sheetId="8" state="hidden" r:id="rId3"/>
    <sheet name="Бетон" sheetId="4" state="hidden" r:id="rId4"/>
    <sheet name="Гидроизоляция" sheetId="13" state="hidden" r:id="rId5"/>
    <sheet name="Рм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I147" i="1" s="1"/>
  <c r="E116" i="1"/>
  <c r="E88" i="1"/>
  <c r="E84" i="1"/>
  <c r="E95" i="1"/>
  <c r="H112" i="1"/>
  <c r="G127" i="1"/>
  <c r="E126" i="1"/>
  <c r="E113" i="1"/>
  <c r="H123" i="1"/>
  <c r="H99" i="1"/>
  <c r="H83" i="1"/>
  <c r="G79" i="1"/>
  <c r="E129" i="1"/>
  <c r="E103" i="1"/>
  <c r="G100" i="1"/>
  <c r="G99" i="1"/>
  <c r="E100" i="1"/>
  <c r="G83" i="1"/>
  <c r="G90" i="1"/>
  <c r="E90" i="1"/>
  <c r="I145" i="1"/>
  <c r="E80" i="1"/>
  <c r="I143" i="1"/>
  <c r="J81" i="1"/>
  <c r="I81" i="1"/>
  <c r="H81" i="1"/>
  <c r="H82" i="1"/>
  <c r="G82" i="1"/>
  <c r="G81" i="1"/>
  <c r="E25" i="1"/>
  <c r="E14" i="1"/>
  <c r="I140" i="1"/>
  <c r="W6" i="13"/>
  <c r="D92" i="4"/>
  <c r="I88" i="9"/>
  <c r="I87" i="9"/>
  <c r="K147" i="1"/>
  <c r="K146" i="1"/>
  <c r="K145" i="1"/>
  <c r="K143" i="1"/>
  <c r="K142" i="1"/>
  <c r="K141" i="1"/>
  <c r="I149" i="1"/>
  <c r="I148" i="1"/>
  <c r="J147" i="1"/>
  <c r="J146" i="1"/>
  <c r="I144" i="1"/>
  <c r="I142" i="1"/>
  <c r="I139" i="1"/>
  <c r="I138" i="1"/>
  <c r="G103" i="1"/>
  <c r="G87" i="1"/>
  <c r="J87" i="1"/>
  <c r="I88" i="1"/>
  <c r="I87" i="1"/>
  <c r="H88" i="1"/>
  <c r="H87" i="1"/>
  <c r="G89" i="1"/>
  <c r="G86" i="1"/>
  <c r="G85" i="1"/>
  <c r="I86" i="1"/>
  <c r="H86" i="1"/>
  <c r="J85" i="1"/>
  <c r="I85" i="1"/>
  <c r="H85" i="1"/>
  <c r="G65" i="1"/>
  <c r="G62" i="1"/>
  <c r="G56" i="1"/>
  <c r="G52" i="1"/>
  <c r="G49" i="1"/>
  <c r="G46" i="1"/>
  <c r="G38" i="1"/>
  <c r="G35" i="1"/>
  <c r="G32" i="1"/>
  <c r="G24" i="1"/>
  <c r="G21" i="1"/>
  <c r="G12" i="1"/>
  <c r="I129" i="1"/>
  <c r="H129" i="1"/>
  <c r="I116" i="1"/>
  <c r="H116" i="1"/>
  <c r="I103" i="1"/>
  <c r="H103" i="1"/>
  <c r="E132" i="1"/>
  <c r="E119" i="1"/>
  <c r="E68" i="1"/>
  <c r="E69" i="1"/>
  <c r="K69" i="1"/>
  <c r="J69" i="1"/>
  <c r="I69" i="1"/>
  <c r="H69" i="1"/>
  <c r="E71" i="1"/>
  <c r="H73" i="1"/>
  <c r="H71" i="1"/>
  <c r="E73" i="1"/>
  <c r="E22" i="1"/>
  <c r="E47" i="1"/>
  <c r="G73" i="1"/>
  <c r="G71" i="1"/>
  <c r="L68" i="1"/>
  <c r="K68" i="1"/>
  <c r="J68" i="1"/>
  <c r="I68" i="1"/>
  <c r="H68" i="1"/>
  <c r="H15" i="1"/>
  <c r="L12" i="1"/>
  <c r="K12" i="1"/>
  <c r="J13" i="1"/>
  <c r="J12" i="1"/>
  <c r="I13" i="1"/>
  <c r="I12" i="1"/>
  <c r="E87" i="1"/>
  <c r="E83" i="1"/>
  <c r="E79" i="1"/>
  <c r="E78" i="1"/>
  <c r="E130" i="1"/>
  <c r="E91" i="1"/>
  <c r="F91" i="9"/>
  <c r="C91" i="9"/>
  <c r="I146" i="1" l="1"/>
  <c r="I141" i="1"/>
  <c r="L69" i="1"/>
  <c r="C87" i="9"/>
  <c r="AB8" i="8" l="1"/>
  <c r="U4" i="8"/>
  <c r="N12" i="8"/>
  <c r="G84" i="8"/>
  <c r="F2" i="8"/>
  <c r="E60" i="1" l="1"/>
  <c r="E44" i="1"/>
  <c r="E19" i="1"/>
  <c r="E30" i="1"/>
  <c r="E5" i="3"/>
  <c r="C94" i="9" l="1"/>
  <c r="E91" i="9"/>
  <c r="R2" i="9"/>
  <c r="F94" i="9"/>
  <c r="E9" i="1"/>
  <c r="J131" i="13"/>
  <c r="J130" i="13"/>
  <c r="I131" i="13"/>
  <c r="I130" i="13"/>
  <c r="H131" i="13"/>
  <c r="H130" i="13"/>
  <c r="G130" i="13"/>
  <c r="F131" i="13"/>
  <c r="F130" i="13"/>
  <c r="E131" i="13"/>
  <c r="E130" i="13"/>
  <c r="D131" i="13"/>
  <c r="D130" i="13"/>
  <c r="C131" i="13"/>
  <c r="C130" i="13"/>
  <c r="B131" i="13"/>
  <c r="B130" i="13"/>
  <c r="E134" i="1"/>
  <c r="E133" i="1" s="1"/>
  <c r="E121" i="1"/>
  <c r="E120" i="1" s="1"/>
  <c r="E108" i="1"/>
  <c r="E107" i="1" s="1"/>
  <c r="D97" i="4"/>
  <c r="E17" i="1"/>
  <c r="E16" i="1" s="1"/>
  <c r="H12" i="1"/>
  <c r="E56" i="1"/>
  <c r="H67" i="1"/>
  <c r="H64" i="1"/>
  <c r="H54" i="1"/>
  <c r="H51" i="1"/>
  <c r="H48" i="1"/>
  <c r="H40" i="1"/>
  <c r="H37" i="1"/>
  <c r="H34" i="1"/>
  <c r="H26" i="1"/>
  <c r="H23" i="1"/>
  <c r="E11" i="1"/>
  <c r="E28" i="1"/>
  <c r="E27" i="1" s="1"/>
  <c r="G125" i="13"/>
  <c r="G124" i="13"/>
  <c r="H121" i="13"/>
  <c r="G119" i="13"/>
  <c r="E42" i="1"/>
  <c r="E41" i="1" s="1"/>
  <c r="K20" i="13"/>
  <c r="K19" i="13"/>
  <c r="K18" i="13"/>
  <c r="K16" i="13"/>
  <c r="K15" i="13"/>
  <c r="J15" i="13"/>
  <c r="J13" i="13"/>
  <c r="K13" i="13" s="1"/>
  <c r="K7" i="13"/>
  <c r="K8" i="13"/>
  <c r="E75" i="1"/>
  <c r="E74" i="1" s="1"/>
  <c r="E58" i="1"/>
  <c r="E57" i="1" s="1"/>
  <c r="P5" i="13"/>
  <c r="C5" i="13"/>
  <c r="E124" i="1"/>
  <c r="E111" i="1"/>
  <c r="E98" i="1"/>
  <c r="E125" i="1"/>
  <c r="E112" i="1"/>
  <c r="E87" i="9"/>
  <c r="E99" i="1"/>
  <c r="D87" i="9"/>
  <c r="E104" i="1"/>
  <c r="E106" i="1"/>
  <c r="E94" i="1"/>
  <c r="X6" i="13"/>
  <c r="X8" i="13" s="1"/>
  <c r="G131" i="13" s="1"/>
  <c r="K131" i="13" s="1"/>
  <c r="E93" i="1"/>
  <c r="E77" i="1"/>
  <c r="I86" i="9"/>
  <c r="W5" i="13"/>
  <c r="G91" i="9"/>
  <c r="C88" i="9"/>
  <c r="I83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D91" i="4"/>
  <c r="M10" i="13"/>
  <c r="M8" i="13"/>
  <c r="X5" i="13"/>
  <c r="G122" i="13"/>
  <c r="G123" i="13"/>
  <c r="G121" i="13"/>
  <c r="G118" i="13"/>
  <c r="G113" i="13"/>
  <c r="G111" i="13"/>
  <c r="G110" i="13"/>
  <c r="G108" i="13"/>
  <c r="G85" i="13"/>
  <c r="X15" i="13"/>
  <c r="X13" i="13"/>
  <c r="X11" i="13"/>
  <c r="J5" i="13"/>
  <c r="K5" i="13" s="1"/>
  <c r="D5" i="13"/>
  <c r="D6" i="13" s="1"/>
  <c r="O5" i="13"/>
  <c r="O6" i="13" s="1"/>
  <c r="T7" i="13"/>
  <c r="T6" i="13"/>
  <c r="T5" i="13"/>
  <c r="K10" i="13"/>
  <c r="K11" i="13"/>
  <c r="J7" i="13"/>
  <c r="G84" i="13"/>
  <c r="G82" i="13"/>
  <c r="G81" i="13"/>
  <c r="G23" i="13"/>
  <c r="G22" i="13"/>
  <c r="J88" i="4"/>
  <c r="J87" i="4"/>
  <c r="J86" i="4"/>
  <c r="G5" i="3"/>
  <c r="E24" i="1"/>
  <c r="E21" i="1"/>
  <c r="E20" i="1"/>
  <c r="E13" i="1"/>
  <c r="E10" i="1"/>
  <c r="E8" i="1"/>
  <c r="K84" i="9"/>
  <c r="D91" i="9"/>
  <c r="S22" i="9"/>
  <c r="D92" i="9" s="1"/>
  <c r="R14" i="9"/>
  <c r="R15" i="9"/>
  <c r="R18" i="9"/>
  <c r="R19" i="9"/>
  <c r="R20" i="9"/>
  <c r="R21" i="9"/>
  <c r="N21" i="9"/>
  <c r="P21" i="9" s="1"/>
  <c r="N20" i="9"/>
  <c r="P20" i="9" s="1"/>
  <c r="N19" i="9"/>
  <c r="P19" i="9" s="1"/>
  <c r="N18" i="9"/>
  <c r="P18" i="9" s="1"/>
  <c r="N17" i="9"/>
  <c r="M17" i="9"/>
  <c r="N16" i="9"/>
  <c r="M16" i="9"/>
  <c r="N15" i="9"/>
  <c r="P15" i="9" s="1"/>
  <c r="N14" i="9"/>
  <c r="P14" i="9" s="1"/>
  <c r="N13" i="9"/>
  <c r="M13" i="9"/>
  <c r="N12" i="9"/>
  <c r="M12" i="9"/>
  <c r="R12" i="9" s="1"/>
  <c r="E93" i="9"/>
  <c r="R7" i="9"/>
  <c r="R6" i="9"/>
  <c r="R5" i="9"/>
  <c r="R4" i="9"/>
  <c r="R3" i="9"/>
  <c r="S8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M8" i="9"/>
  <c r="P7" i="9"/>
  <c r="P6" i="9"/>
  <c r="P5" i="9"/>
  <c r="P4" i="9"/>
  <c r="P3" i="9"/>
  <c r="P2" i="9"/>
  <c r="F87" i="9"/>
  <c r="G83" i="9"/>
  <c r="F83" i="9" s="1"/>
  <c r="D83" i="9"/>
  <c r="G82" i="9"/>
  <c r="D82" i="9"/>
  <c r="G81" i="9"/>
  <c r="D81" i="9"/>
  <c r="G80" i="9"/>
  <c r="F80" i="9" s="1"/>
  <c r="D80" i="9"/>
  <c r="G79" i="9"/>
  <c r="D79" i="9"/>
  <c r="G78" i="9"/>
  <c r="F78" i="9" s="1"/>
  <c r="D78" i="9"/>
  <c r="G77" i="9"/>
  <c r="F77" i="9" s="1"/>
  <c r="D77" i="9"/>
  <c r="G76" i="9"/>
  <c r="D76" i="9"/>
  <c r="G75" i="9"/>
  <c r="F75" i="9" s="1"/>
  <c r="D75" i="9"/>
  <c r="G74" i="9"/>
  <c r="F74" i="9" s="1"/>
  <c r="D74" i="9"/>
  <c r="G73" i="9"/>
  <c r="D73" i="9"/>
  <c r="G72" i="9"/>
  <c r="D72" i="9"/>
  <c r="G71" i="9"/>
  <c r="D71" i="9"/>
  <c r="G70" i="9"/>
  <c r="D70" i="9"/>
  <c r="G69" i="9"/>
  <c r="D69" i="9"/>
  <c r="G68" i="9"/>
  <c r="D68" i="9"/>
  <c r="G67" i="9"/>
  <c r="D67" i="9"/>
  <c r="G66" i="9"/>
  <c r="D66" i="9"/>
  <c r="F66" i="9" s="1"/>
  <c r="G65" i="9"/>
  <c r="D65" i="9"/>
  <c r="F65" i="9" s="1"/>
  <c r="D64" i="9"/>
  <c r="C64" i="9"/>
  <c r="G64" i="9" s="1"/>
  <c r="G63" i="9"/>
  <c r="D63" i="9"/>
  <c r="G62" i="9"/>
  <c r="D62" i="9"/>
  <c r="G61" i="9"/>
  <c r="D61" i="9"/>
  <c r="G60" i="9"/>
  <c r="D60" i="9"/>
  <c r="G59" i="9"/>
  <c r="D59" i="9"/>
  <c r="G58" i="9"/>
  <c r="D58" i="9"/>
  <c r="G57" i="9"/>
  <c r="D57" i="9"/>
  <c r="G56" i="9"/>
  <c r="D56" i="9"/>
  <c r="G55" i="9"/>
  <c r="D55" i="9"/>
  <c r="G54" i="9"/>
  <c r="D54" i="9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D47" i="9"/>
  <c r="F47" i="9" s="1"/>
  <c r="G46" i="9"/>
  <c r="D46" i="9"/>
  <c r="G45" i="9"/>
  <c r="D45" i="9"/>
  <c r="G44" i="9"/>
  <c r="D44" i="9"/>
  <c r="F44" i="9" s="1"/>
  <c r="G43" i="9"/>
  <c r="D43" i="9"/>
  <c r="G42" i="9"/>
  <c r="D42" i="9"/>
  <c r="G41" i="9"/>
  <c r="D41" i="9"/>
  <c r="G40" i="9"/>
  <c r="D40" i="9"/>
  <c r="G39" i="9"/>
  <c r="D39" i="9"/>
  <c r="G38" i="9"/>
  <c r="D38" i="9"/>
  <c r="G37" i="9"/>
  <c r="F37" i="9" s="1"/>
  <c r="D37" i="9"/>
  <c r="G36" i="9"/>
  <c r="D36" i="9"/>
  <c r="F36" i="9" s="1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D28" i="9"/>
  <c r="G27" i="9"/>
  <c r="D27" i="9"/>
  <c r="G26" i="9"/>
  <c r="D26" i="9"/>
  <c r="G25" i="9"/>
  <c r="F25" i="9" s="1"/>
  <c r="D25" i="9"/>
  <c r="G24" i="9"/>
  <c r="D24" i="9"/>
  <c r="F24" i="9" s="1"/>
  <c r="G23" i="9"/>
  <c r="D23" i="9"/>
  <c r="F23" i="9" s="1"/>
  <c r="G22" i="9"/>
  <c r="D22" i="9"/>
  <c r="G21" i="9"/>
  <c r="F21" i="9" s="1"/>
  <c r="D21" i="9"/>
  <c r="G20" i="9"/>
  <c r="D20" i="9"/>
  <c r="G19" i="9"/>
  <c r="D19" i="9"/>
  <c r="F19" i="9" s="1"/>
  <c r="G18" i="9"/>
  <c r="D18" i="9"/>
  <c r="G17" i="9"/>
  <c r="F17" i="9" s="1"/>
  <c r="D17" i="9"/>
  <c r="G16" i="9"/>
  <c r="D16" i="9"/>
  <c r="G15" i="9"/>
  <c r="F15" i="9" s="1"/>
  <c r="D15" i="9"/>
  <c r="G14" i="9"/>
  <c r="F14" i="9" s="1"/>
  <c r="D14" i="9"/>
  <c r="G13" i="9"/>
  <c r="D13" i="9"/>
  <c r="F13" i="9" s="1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G3" i="9"/>
  <c r="D3" i="9"/>
  <c r="D2" i="9"/>
  <c r="C2" i="9"/>
  <c r="I2" i="9" s="1"/>
  <c r="C84" i="4"/>
  <c r="AB3" i="8"/>
  <c r="AB4" i="8"/>
  <c r="AB5" i="8"/>
  <c r="AB6" i="8"/>
  <c r="AB7" i="8"/>
  <c r="AB2" i="8"/>
  <c r="U3" i="8"/>
  <c r="U2" i="8"/>
  <c r="T2" i="8" s="1"/>
  <c r="N4" i="8"/>
  <c r="N5" i="8"/>
  <c r="M5" i="8" s="1"/>
  <c r="N8" i="8"/>
  <c r="N9" i="8"/>
  <c r="N10" i="8"/>
  <c r="N11" i="8"/>
  <c r="G3" i="8"/>
  <c r="G4" i="8"/>
  <c r="G5" i="8"/>
  <c r="G6" i="8"/>
  <c r="G7" i="8"/>
  <c r="G8" i="8"/>
  <c r="G9" i="8"/>
  <c r="G10" i="8"/>
  <c r="F10" i="8" s="1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F28" i="8" s="1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F44" i="8" s="1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F58" i="8" s="1"/>
  <c r="G59" i="8"/>
  <c r="G60" i="8"/>
  <c r="G61" i="8"/>
  <c r="G62" i="8"/>
  <c r="G63" i="8"/>
  <c r="G65" i="8"/>
  <c r="G66" i="8"/>
  <c r="G67" i="8"/>
  <c r="G68" i="8"/>
  <c r="G69" i="8"/>
  <c r="F69" i="8" s="1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AA5" i="8"/>
  <c r="C2" i="4"/>
  <c r="X8" i="8"/>
  <c r="Q4" i="8"/>
  <c r="Y3" i="8"/>
  <c r="Y4" i="8"/>
  <c r="Y5" i="8"/>
  <c r="Y6" i="8"/>
  <c r="Y7" i="8"/>
  <c r="Y2" i="8"/>
  <c r="R3" i="8"/>
  <c r="R2" i="8"/>
  <c r="K3" i="8"/>
  <c r="K4" i="8"/>
  <c r="K5" i="8"/>
  <c r="K6" i="8"/>
  <c r="K7" i="8"/>
  <c r="K8" i="8"/>
  <c r="K9" i="8"/>
  <c r="M9" i="8" s="1"/>
  <c r="K10" i="8"/>
  <c r="M10" i="8" s="1"/>
  <c r="K11" i="8"/>
  <c r="K2" i="8"/>
  <c r="D3" i="8"/>
  <c r="F3" i="8" s="1"/>
  <c r="D4" i="8"/>
  <c r="D5" i="8"/>
  <c r="F5" i="8" s="1"/>
  <c r="D6" i="8"/>
  <c r="D7" i="8"/>
  <c r="D8" i="8"/>
  <c r="D9" i="8"/>
  <c r="F9" i="8" s="1"/>
  <c r="D10" i="8"/>
  <c r="D11" i="8"/>
  <c r="D12" i="8"/>
  <c r="D13" i="8"/>
  <c r="D14" i="8"/>
  <c r="D15" i="8"/>
  <c r="F15" i="8" s="1"/>
  <c r="D16" i="8"/>
  <c r="D17" i="8"/>
  <c r="F17" i="8" s="1"/>
  <c r="D18" i="8"/>
  <c r="D19" i="8"/>
  <c r="D20" i="8"/>
  <c r="D21" i="8"/>
  <c r="D22" i="8"/>
  <c r="D23" i="8"/>
  <c r="D24" i="8"/>
  <c r="D25" i="8"/>
  <c r="D26" i="8"/>
  <c r="D27" i="8"/>
  <c r="F27" i="8" s="1"/>
  <c r="D28" i="8"/>
  <c r="D29" i="8"/>
  <c r="F29" i="8" s="1"/>
  <c r="D30" i="8"/>
  <c r="D31" i="8"/>
  <c r="D32" i="8"/>
  <c r="D33" i="8"/>
  <c r="F33" i="8" s="1"/>
  <c r="D34" i="8"/>
  <c r="D35" i="8"/>
  <c r="D36" i="8"/>
  <c r="D37" i="8"/>
  <c r="D38" i="8"/>
  <c r="F38" i="8" s="1"/>
  <c r="D39" i="8"/>
  <c r="F39" i="8" s="1"/>
  <c r="D40" i="8"/>
  <c r="D41" i="8"/>
  <c r="F41" i="8" s="1"/>
  <c r="D42" i="8"/>
  <c r="D43" i="8"/>
  <c r="D44" i="8"/>
  <c r="D45" i="8"/>
  <c r="F45" i="8" s="1"/>
  <c r="D46" i="8"/>
  <c r="D47" i="8"/>
  <c r="D48" i="8"/>
  <c r="D49" i="8"/>
  <c r="D50" i="8"/>
  <c r="D51" i="8"/>
  <c r="F51" i="8" s="1"/>
  <c r="D52" i="8"/>
  <c r="D53" i="8"/>
  <c r="D54" i="8"/>
  <c r="D55" i="8"/>
  <c r="D56" i="8"/>
  <c r="D57" i="8"/>
  <c r="F57" i="8" s="1"/>
  <c r="D58" i="8"/>
  <c r="D59" i="8"/>
  <c r="D60" i="8"/>
  <c r="D61" i="8"/>
  <c r="D62" i="8"/>
  <c r="D63" i="8"/>
  <c r="F63" i="8" s="1"/>
  <c r="D64" i="8"/>
  <c r="D65" i="8"/>
  <c r="F65" i="8" s="1"/>
  <c r="D66" i="8"/>
  <c r="D67" i="8"/>
  <c r="D68" i="8"/>
  <c r="D69" i="8"/>
  <c r="D70" i="8"/>
  <c r="D71" i="8"/>
  <c r="D72" i="8"/>
  <c r="D73" i="8"/>
  <c r="D74" i="8"/>
  <c r="D75" i="8"/>
  <c r="F75" i="8" s="1"/>
  <c r="D76" i="8"/>
  <c r="F76" i="8" s="1"/>
  <c r="D77" i="8"/>
  <c r="F77" i="8" s="1"/>
  <c r="D78" i="8"/>
  <c r="D79" i="8"/>
  <c r="D80" i="8"/>
  <c r="D81" i="8"/>
  <c r="D82" i="8"/>
  <c r="D83" i="8"/>
  <c r="D2" i="8"/>
  <c r="C64" i="8"/>
  <c r="G64" i="8" s="1"/>
  <c r="J7" i="8"/>
  <c r="N7" i="8" s="1"/>
  <c r="M7" i="8" s="1"/>
  <c r="J6" i="8"/>
  <c r="N6" i="8" s="1"/>
  <c r="M6" i="8" s="1"/>
  <c r="J3" i="8"/>
  <c r="N3" i="8" s="1"/>
  <c r="J2" i="8"/>
  <c r="N2" i="8" s="1"/>
  <c r="C2" i="8"/>
  <c r="C64" i="4"/>
  <c r="E31" i="1"/>
  <c r="G94" i="9" l="1"/>
  <c r="F22" i="9"/>
  <c r="F34" i="9"/>
  <c r="F46" i="9"/>
  <c r="P17" i="9"/>
  <c r="F6" i="9"/>
  <c r="F54" i="9"/>
  <c r="C84" i="9"/>
  <c r="F49" i="9"/>
  <c r="F61" i="9"/>
  <c r="P13" i="9"/>
  <c r="F3" i="9"/>
  <c r="F9" i="9"/>
  <c r="F10" i="9"/>
  <c r="F39" i="9"/>
  <c r="F45" i="9"/>
  <c r="F51" i="9"/>
  <c r="R17" i="9"/>
  <c r="F27" i="9"/>
  <c r="F33" i="9"/>
  <c r="F67" i="9"/>
  <c r="F73" i="9"/>
  <c r="F5" i="9"/>
  <c r="F11" i="9"/>
  <c r="F28" i="9"/>
  <c r="F12" i="9"/>
  <c r="F57" i="9"/>
  <c r="F63" i="9"/>
  <c r="F7" i="9"/>
  <c r="F29" i="9"/>
  <c r="F35" i="9"/>
  <c r="F52" i="9"/>
  <c r="F69" i="9"/>
  <c r="F81" i="9"/>
  <c r="M22" i="9"/>
  <c r="G87" i="9"/>
  <c r="F30" i="9"/>
  <c r="F41" i="9"/>
  <c r="F70" i="9"/>
  <c r="R16" i="9"/>
  <c r="I64" i="9"/>
  <c r="I84" i="9" s="1"/>
  <c r="F31" i="9"/>
  <c r="F53" i="9"/>
  <c r="F59" i="9"/>
  <c r="F82" i="9"/>
  <c r="F20" i="9"/>
  <c r="F60" i="9"/>
  <c r="R13" i="9"/>
  <c r="F4" i="9"/>
  <c r="F43" i="9"/>
  <c r="F55" i="9"/>
  <c r="F72" i="9"/>
  <c r="P12" i="9"/>
  <c r="E91" i="4"/>
  <c r="F21" i="8"/>
  <c r="F55" i="8"/>
  <c r="F43" i="8"/>
  <c r="F31" i="8"/>
  <c r="F19" i="8"/>
  <c r="F7" i="8"/>
  <c r="F81" i="8"/>
  <c r="F56" i="8"/>
  <c r="F32" i="8"/>
  <c r="F20" i="8"/>
  <c r="F8" i="8"/>
  <c r="F53" i="8"/>
  <c r="F52" i="8"/>
  <c r="F40" i="8"/>
  <c r="F16" i="8"/>
  <c r="F4" i="8"/>
  <c r="M2" i="8"/>
  <c r="F74" i="8"/>
  <c r="F64" i="8"/>
  <c r="F73" i="8"/>
  <c r="F61" i="8"/>
  <c r="F49" i="8"/>
  <c r="F37" i="8"/>
  <c r="F25" i="8"/>
  <c r="F13" i="8"/>
  <c r="M11" i="8"/>
  <c r="AA7" i="8"/>
  <c r="M4" i="8"/>
  <c r="F79" i="8"/>
  <c r="F67" i="8"/>
  <c r="F54" i="8"/>
  <c r="F42" i="8"/>
  <c r="F30" i="8"/>
  <c r="F18" i="8"/>
  <c r="F6" i="8"/>
  <c r="F82" i="8"/>
  <c r="F70" i="8"/>
  <c r="F46" i="8"/>
  <c r="F34" i="8"/>
  <c r="F22" i="8"/>
  <c r="M8" i="8"/>
  <c r="AA4" i="8"/>
  <c r="F78" i="8"/>
  <c r="F66" i="8"/>
  <c r="AA2" i="8"/>
  <c r="F68" i="8"/>
  <c r="F80" i="8"/>
  <c r="F62" i="8"/>
  <c r="F50" i="8"/>
  <c r="F26" i="8"/>
  <c r="F14" i="8"/>
  <c r="M3" i="8"/>
  <c r="T3" i="8"/>
  <c r="T4" i="8" s="1"/>
  <c r="C84" i="8"/>
  <c r="G2" i="8"/>
  <c r="F72" i="8"/>
  <c r="F60" i="8"/>
  <c r="F48" i="8"/>
  <c r="F36" i="8"/>
  <c r="F24" i="8"/>
  <c r="F12" i="8"/>
  <c r="AA6" i="8"/>
  <c r="F83" i="8"/>
  <c r="F71" i="8"/>
  <c r="F59" i="8"/>
  <c r="F47" i="8"/>
  <c r="F35" i="8"/>
  <c r="F23" i="8"/>
  <c r="F11" i="8"/>
  <c r="AA3" i="8"/>
  <c r="M7" i="13"/>
  <c r="J89" i="4"/>
  <c r="T8" i="13"/>
  <c r="P16" i="9"/>
  <c r="F50" i="9"/>
  <c r="F79" i="9"/>
  <c r="F26" i="9"/>
  <c r="F8" i="9"/>
  <c r="F32" i="9"/>
  <c r="F56" i="9"/>
  <c r="F18" i="9"/>
  <c r="F42" i="9"/>
  <c r="F71" i="9"/>
  <c r="F76" i="9"/>
  <c r="F62" i="9"/>
  <c r="F38" i="9"/>
  <c r="F48" i="9"/>
  <c r="F58" i="9"/>
  <c r="F68" i="9"/>
  <c r="F64" i="9"/>
  <c r="F16" i="9"/>
  <c r="F40" i="9"/>
  <c r="P8" i="9"/>
  <c r="G2" i="9"/>
  <c r="F2" i="9" s="1"/>
  <c r="J2" i="9"/>
  <c r="J64" i="9"/>
  <c r="R8" i="9"/>
  <c r="J12" i="8"/>
  <c r="E66" i="1"/>
  <c r="A56" i="3"/>
  <c r="E63" i="1"/>
  <c r="A54" i="3"/>
  <c r="E65" i="1"/>
  <c r="E62" i="1"/>
  <c r="E50" i="1"/>
  <c r="A42" i="3"/>
  <c r="A40" i="3"/>
  <c r="E49" i="1"/>
  <c r="E46" i="1"/>
  <c r="E36" i="1"/>
  <c r="A30" i="3"/>
  <c r="E33" i="1"/>
  <c r="A28" i="3"/>
  <c r="E32" i="1"/>
  <c r="E35" i="1"/>
  <c r="P22" i="9" l="1"/>
  <c r="J84" i="9"/>
  <c r="AA8" i="8"/>
  <c r="F84" i="9"/>
  <c r="G89" i="9"/>
  <c r="C89" i="9"/>
  <c r="G88" i="9"/>
  <c r="M12" i="8"/>
  <c r="F84" i="8"/>
  <c r="A69" i="3"/>
  <c r="A67" i="3"/>
  <c r="D65" i="3"/>
  <c r="D64" i="3"/>
  <c r="E61" i="1"/>
  <c r="D52" i="3"/>
  <c r="D51" i="3"/>
  <c r="E53" i="1"/>
  <c r="A44" i="3"/>
  <c r="E52" i="1"/>
  <c r="E45" i="1"/>
  <c r="D38" i="3"/>
  <c r="D37" i="3"/>
  <c r="E39" i="1"/>
  <c r="A32" i="3"/>
  <c r="E38" i="1"/>
  <c r="D26" i="3"/>
  <c r="D25" i="3"/>
  <c r="D16" i="3"/>
  <c r="D15" i="3"/>
  <c r="A20" i="3"/>
  <c r="A10" i="3"/>
  <c r="A8" i="3"/>
  <c r="D6" i="3"/>
  <c r="D5" i="3"/>
  <c r="I3" i="4"/>
  <c r="J3" i="4" s="1"/>
  <c r="I4" i="4"/>
  <c r="J4" i="4" s="1"/>
  <c r="I5" i="4"/>
  <c r="J5" i="4" s="1"/>
  <c r="I6" i="4"/>
  <c r="J6" i="4" s="1"/>
  <c r="I7" i="4"/>
  <c r="J7" i="4" s="1"/>
  <c r="I8" i="4"/>
  <c r="J8" i="4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 s="1"/>
  <c r="I36" i="4"/>
  <c r="J36" i="4" s="1"/>
  <c r="I37" i="4"/>
  <c r="J37" i="4" s="1"/>
  <c r="I38" i="4"/>
  <c r="J38" i="4" s="1"/>
  <c r="I39" i="4"/>
  <c r="J39" i="4"/>
  <c r="I40" i="4"/>
  <c r="J40" i="4" s="1"/>
  <c r="I41" i="4"/>
  <c r="J41" i="4" s="1"/>
  <c r="I42" i="4"/>
  <c r="J42" i="4" s="1"/>
  <c r="I43" i="4"/>
  <c r="J43" i="4" s="1"/>
  <c r="I44" i="4"/>
  <c r="J44" i="4"/>
  <c r="I45" i="4"/>
  <c r="J45" i="4" s="1"/>
  <c r="I46" i="4"/>
  <c r="J46" i="4" s="1"/>
  <c r="I47" i="4"/>
  <c r="J47" i="4" s="1"/>
  <c r="I48" i="4"/>
  <c r="J48" i="4"/>
  <c r="I49" i="4"/>
  <c r="J49" i="4" s="1"/>
  <c r="I50" i="4"/>
  <c r="J50" i="4" s="1"/>
  <c r="I51" i="4"/>
  <c r="J51" i="4" s="1"/>
  <c r="I52" i="4"/>
  <c r="J52" i="4" s="1"/>
  <c r="I53" i="4"/>
  <c r="J53" i="4"/>
  <c r="I54" i="4"/>
  <c r="J54" i="4"/>
  <c r="I55" i="4"/>
  <c r="J55" i="4" s="1"/>
  <c r="I56" i="4"/>
  <c r="J56" i="4"/>
  <c r="I57" i="4"/>
  <c r="J57" i="4" s="1"/>
  <c r="I58" i="4"/>
  <c r="J58" i="4" s="1"/>
  <c r="I59" i="4"/>
  <c r="J59" i="4"/>
  <c r="I60" i="4"/>
  <c r="J60" i="4"/>
  <c r="I61" i="4"/>
  <c r="J61" i="4" s="1"/>
  <c r="I62" i="4"/>
  <c r="J62" i="4" s="1"/>
  <c r="I63" i="4"/>
  <c r="J63" i="4"/>
  <c r="I64" i="4"/>
  <c r="J64" i="4" s="1"/>
  <c r="I65" i="4"/>
  <c r="J65" i="4" s="1"/>
  <c r="I66" i="4"/>
  <c r="J66" i="4"/>
  <c r="I67" i="4"/>
  <c r="J67" i="4" s="1"/>
  <c r="I68" i="4"/>
  <c r="J68" i="4"/>
  <c r="I69" i="4"/>
  <c r="J69" i="4"/>
  <c r="I70" i="4"/>
  <c r="J70" i="4" s="1"/>
  <c r="I71" i="4"/>
  <c r="J71" i="4" s="1"/>
  <c r="I72" i="4"/>
  <c r="J72" i="4" s="1"/>
  <c r="I73" i="4"/>
  <c r="J73" i="4" s="1"/>
  <c r="I74" i="4"/>
  <c r="J74" i="4" s="1"/>
  <c r="I75" i="4"/>
  <c r="J75" i="4"/>
  <c r="I76" i="4"/>
  <c r="J76" i="4" s="1"/>
  <c r="I77" i="4"/>
  <c r="J77" i="4"/>
  <c r="I78" i="4"/>
  <c r="J78" i="4" s="1"/>
  <c r="I79" i="4"/>
  <c r="J79" i="4" s="1"/>
  <c r="I80" i="4"/>
  <c r="J80" i="4" s="1"/>
  <c r="I81" i="4"/>
  <c r="J81" i="4" s="1"/>
  <c r="I82" i="4"/>
  <c r="J82" i="4" s="1"/>
  <c r="I83" i="4"/>
  <c r="J83" i="4" s="1"/>
  <c r="I2" i="4"/>
  <c r="Y8" i="4"/>
  <c r="S4" i="4"/>
  <c r="A86" i="8" l="1"/>
  <c r="AB7" i="4" l="1"/>
  <c r="F77" i="4"/>
  <c r="AB6" i="4"/>
  <c r="AB5" i="4"/>
  <c r="V3" i="4"/>
  <c r="N10" i="4"/>
  <c r="P10" i="4" s="1"/>
  <c r="N11" i="4"/>
  <c r="P11" i="4" s="1"/>
  <c r="AB4" i="4"/>
  <c r="AB3" i="4"/>
  <c r="AB2" i="4"/>
  <c r="V2" i="4"/>
  <c r="F75" i="4"/>
  <c r="F76" i="4"/>
  <c r="F78" i="4"/>
  <c r="F79" i="4"/>
  <c r="F80" i="4"/>
  <c r="F81" i="4"/>
  <c r="F82" i="4"/>
  <c r="F83" i="4"/>
  <c r="F71" i="4"/>
  <c r="F72" i="4"/>
  <c r="F73" i="4"/>
  <c r="F74" i="4"/>
  <c r="F64" i="4"/>
  <c r="F65" i="4"/>
  <c r="F66" i="4"/>
  <c r="F67" i="4"/>
  <c r="F68" i="4"/>
  <c r="F69" i="4"/>
  <c r="F70" i="4"/>
  <c r="F61" i="4"/>
  <c r="F62" i="4"/>
  <c r="F63" i="4"/>
  <c r="F59" i="4"/>
  <c r="F60" i="4"/>
  <c r="F55" i="4"/>
  <c r="F56" i="4"/>
  <c r="F57" i="4"/>
  <c r="F58" i="4"/>
  <c r="N9" i="4"/>
  <c r="P9" i="4" s="1"/>
  <c r="N8" i="4"/>
  <c r="P8" i="4" s="1"/>
  <c r="N6" i="4"/>
  <c r="N7" i="4"/>
  <c r="M7" i="4"/>
  <c r="M6" i="4"/>
  <c r="N5" i="4"/>
  <c r="P5" i="4" s="1"/>
  <c r="N4" i="4"/>
  <c r="P4" i="4" s="1"/>
  <c r="M3" i="4"/>
  <c r="N3" i="4"/>
  <c r="M2" i="4"/>
  <c r="N2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19" i="4"/>
  <c r="F20" i="4"/>
  <c r="F21" i="4"/>
  <c r="F22" i="4"/>
  <c r="F23" i="4"/>
  <c r="F24" i="4"/>
  <c r="F25" i="4"/>
  <c r="F26" i="4"/>
  <c r="F27" i="4"/>
  <c r="F28" i="4"/>
  <c r="F18" i="4"/>
  <c r="F17" i="4"/>
  <c r="F16" i="4"/>
  <c r="F14" i="4"/>
  <c r="F15" i="4"/>
  <c r="F13" i="4"/>
  <c r="F12" i="4"/>
  <c r="F9" i="4"/>
  <c r="F10" i="4"/>
  <c r="F11" i="4"/>
  <c r="F8" i="4"/>
  <c r="F7" i="4"/>
  <c r="F6" i="4"/>
  <c r="F5" i="4"/>
  <c r="F4" i="4"/>
  <c r="F3" i="4"/>
  <c r="D69" i="3"/>
  <c r="E69" i="3" s="1"/>
  <c r="E66" i="3"/>
  <c r="E65" i="3"/>
  <c r="E68" i="3"/>
  <c r="D67" i="3"/>
  <c r="E67" i="3" s="1"/>
  <c r="E64" i="3"/>
  <c r="D60" i="3"/>
  <c r="E60" i="3" s="1"/>
  <c r="D59" i="3"/>
  <c r="E59" i="3" s="1"/>
  <c r="D58" i="3"/>
  <c r="E58" i="3" s="1"/>
  <c r="A58" i="3"/>
  <c r="E55" i="3"/>
  <c r="E53" i="3"/>
  <c r="D56" i="3"/>
  <c r="E56" i="3" s="1"/>
  <c r="D54" i="3"/>
  <c r="E54" i="3" s="1"/>
  <c r="E52" i="3"/>
  <c r="E51" i="3"/>
  <c r="E57" i="3"/>
  <c r="A46" i="3"/>
  <c r="D46" i="3" s="1"/>
  <c r="E46" i="3" s="1"/>
  <c r="E45" i="3"/>
  <c r="E43" i="3"/>
  <c r="E41" i="3"/>
  <c r="E39" i="3"/>
  <c r="D44" i="3"/>
  <c r="E44" i="3" s="1"/>
  <c r="D42" i="3"/>
  <c r="E42" i="3" s="1"/>
  <c r="D40" i="3"/>
  <c r="E40" i="3" s="1"/>
  <c r="E38" i="3"/>
  <c r="E37" i="3"/>
  <c r="E31" i="3"/>
  <c r="E29" i="3"/>
  <c r="E27" i="3"/>
  <c r="D32" i="3"/>
  <c r="E32" i="3" s="1"/>
  <c r="D30" i="3"/>
  <c r="E30" i="3" s="1"/>
  <c r="D28" i="3"/>
  <c r="E28" i="3" s="1"/>
  <c r="E26" i="3"/>
  <c r="E25" i="3"/>
  <c r="E19" i="3"/>
  <c r="D20" i="3"/>
  <c r="E20" i="3" s="1"/>
  <c r="A18" i="3"/>
  <c r="D18" i="3" s="1"/>
  <c r="E18" i="3" s="1"/>
  <c r="E17" i="3"/>
  <c r="E16" i="3"/>
  <c r="E15" i="3"/>
  <c r="E9" i="3"/>
  <c r="E7" i="3"/>
  <c r="D10" i="3"/>
  <c r="E10" i="3" s="1"/>
  <c r="D8" i="3"/>
  <c r="E8" i="3" s="1"/>
  <c r="E6" i="3"/>
  <c r="J2" i="4" l="1"/>
  <c r="J84" i="4" s="1"/>
  <c r="P6" i="4"/>
  <c r="P7" i="4"/>
  <c r="AB8" i="4"/>
  <c r="D95" i="4" s="1"/>
  <c r="V4" i="4"/>
  <c r="D94" i="4" s="1"/>
  <c r="F2" i="4"/>
  <c r="F84" i="4" s="1"/>
  <c r="P2" i="4"/>
  <c r="M12" i="4"/>
  <c r="P3" i="4"/>
  <c r="P12" i="4" l="1"/>
  <c r="D93" i="4" s="1"/>
</calcChain>
</file>

<file path=xl/sharedStrings.xml><?xml version="1.0" encoding="utf-8"?>
<sst xmlns="http://schemas.openxmlformats.org/spreadsheetml/2006/main" count="467" uniqueCount="131">
  <si>
    <t>Устройство бетонной подготовки</t>
  </si>
  <si>
    <t>м3</t>
  </si>
  <si>
    <t>Бетон В7.5</t>
  </si>
  <si>
    <t>Бетон В25 F150 W6</t>
  </si>
  <si>
    <t>тн</t>
  </si>
  <si>
    <t>шт.</t>
  </si>
  <si>
    <t>Наименование</t>
  </si>
  <si>
    <t>Ед.изм</t>
  </si>
  <si>
    <t>Ростверк Рм-1 л.6 от 24.10.25</t>
  </si>
  <si>
    <t>Итого</t>
  </si>
  <si>
    <t>Каркас Кр1 6,784 кг/шт</t>
  </si>
  <si>
    <t>Ростверк Рм-2 л.8 от 24.10.25</t>
  </si>
  <si>
    <t>Сетка С2 41,724 кг/шт</t>
  </si>
  <si>
    <t>Ростверк Рм-3 л.8 от 24.10.25</t>
  </si>
  <si>
    <t>Каркас Кр2 8,472 кг/шт</t>
  </si>
  <si>
    <t>Сетка С3 42,824 кг/шт</t>
  </si>
  <si>
    <t>Ростверк Рм-4 л.13 от 24.10.25</t>
  </si>
  <si>
    <t>Каркас Кр4 14,030 кг/шт</t>
  </si>
  <si>
    <t>Сетка С4 106,666  кг/шт</t>
  </si>
  <si>
    <t>Выпуска из ростверка</t>
  </si>
  <si>
    <t>Ростверк Рм-5 л.17 от 24.10.25</t>
  </si>
  <si>
    <t>Каркас Кр3 10,123 кг/шт</t>
  </si>
  <si>
    <t>Каркас Кр5 13,471 кг/шт</t>
  </si>
  <si>
    <t>Каркас Кр6 19,660 кг/шт</t>
  </si>
  <si>
    <t>Деталь П1 Ø10 А500С L=3115 1,922 кг/шт</t>
  </si>
  <si>
    <t>Арматура Ø10 А500С</t>
  </si>
  <si>
    <t>Арматура Ø14 А500С</t>
  </si>
  <si>
    <t>Ростверк Рм-6 л.20 от 24.10.25</t>
  </si>
  <si>
    <t>Каркас Кр7 7,854 кг/шт</t>
  </si>
  <si>
    <t>Сетка С5 42,763 кг/шт</t>
  </si>
  <si>
    <t>Ростверк РМл-1</t>
  </si>
  <si>
    <t>Ростверк РМл-2</t>
  </si>
  <si>
    <t>Ростверк РМл-3</t>
  </si>
  <si>
    <t>Ростверк РМл-4</t>
  </si>
  <si>
    <t>№
п/п</t>
  </si>
  <si>
    <t>Наименование работ</t>
  </si>
  <si>
    <t>Объем</t>
  </si>
  <si>
    <t>Примечание</t>
  </si>
  <si>
    <t>Устройство монолитного железобетонного отдельно стоящего плитного ростверка</t>
  </si>
  <si>
    <t>м2</t>
  </si>
  <si>
    <t>Сетка С1 34,138 кг/шт</t>
  </si>
  <si>
    <t>Устройство монолитного железобетонного ленточного ростверка</t>
  </si>
  <si>
    <t>Арматура Ø10 А500С (выпуска из ростверка)</t>
  </si>
  <si>
    <t xml:space="preserve">Выпуска из ростверка:
Деталь П1 Ø10 А500С (1,922 кг/шт), L=3,115м </t>
  </si>
  <si>
    <t>м.п</t>
  </si>
  <si>
    <t xml:space="preserve">Изделие закладное МН2.7 (2,10 кг/шт) </t>
  </si>
  <si>
    <t xml:space="preserve">Изделие закладное МН2.15 (1,38 кг/шт) </t>
  </si>
  <si>
    <t>Каркас Кр8</t>
  </si>
  <si>
    <t>Каркас Кр9</t>
  </si>
  <si>
    <t>РЛм1</t>
  </si>
  <si>
    <t>РЛм2</t>
  </si>
  <si>
    <t>РЛм3</t>
  </si>
  <si>
    <t>РЛм4</t>
  </si>
  <si>
    <t>+</t>
  </si>
  <si>
    <t>2. 10 А500С 790мм</t>
  </si>
  <si>
    <t>3. 10А500С 540мм</t>
  </si>
  <si>
    <t>4. 10А500С 440мм</t>
  </si>
  <si>
    <t>1. 16 А500С</t>
  </si>
  <si>
    <t>Объект образования (общеобразовательная школа на 1100 мест) по ул. Николая Сотникова в Кировском районе г.Новосибирска</t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</si>
  <si>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Рм-1-88 шт. </t>
    </r>
    <r>
      <rPr>
        <sz val="12"/>
        <color theme="1"/>
        <rFont val="Times New Roman"/>
        <family val="1"/>
        <charset val="204"/>
      </rPr>
      <t xml:space="preserve">
(л.5-л.6 предварительная выдача от 23.10.25)</t>
    </r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</si>
  <si>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Рм-2-92 шт. </t>
    </r>
    <r>
      <rPr>
        <sz val="12"/>
        <color theme="1"/>
        <rFont val="Times New Roman"/>
        <family val="1"/>
        <charset val="204"/>
      </rPr>
      <t xml:space="preserve">
(л.7-л.8 предварительная выдача от 23.10.25)</t>
    </r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</si>
  <si>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Рм-3-11 шт. </t>
    </r>
    <r>
      <rPr>
        <sz val="12"/>
        <color theme="1"/>
        <rFont val="Times New Roman"/>
        <family val="1"/>
        <charset val="204"/>
      </rPr>
      <t xml:space="preserve">
(л.9-л.10 предварительная выдача от 23.10.25)</t>
    </r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</si>
  <si>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Рм-4-1 шт. </t>
    </r>
    <r>
      <rPr>
        <sz val="12"/>
        <color theme="1"/>
        <rFont val="Times New Roman"/>
        <family val="1"/>
        <charset val="204"/>
      </rPr>
      <t xml:space="preserve">
(л.11-л.14 предварительная выдача от 23.10.25)</t>
    </r>
  </si>
  <si>
    <t>Рм1</t>
  </si>
  <si>
    <t>Рм2</t>
  </si>
  <si>
    <t>Рм3</t>
  </si>
  <si>
    <t>Рм4</t>
  </si>
  <si>
    <t>Рм5</t>
  </si>
  <si>
    <t>-</t>
  </si>
  <si>
    <t>Рлм-1</t>
  </si>
  <si>
    <t>Рлм-2</t>
  </si>
  <si>
    <t>Рлм-3</t>
  </si>
  <si>
    <t>Рлм-4</t>
  </si>
  <si>
    <t>Арматура Ø10 А500С, L=440мм - 3400шт.</t>
  </si>
  <si>
    <t>Арматура Ø10 А500С, L=790мм - 500шт.</t>
  </si>
  <si>
    <t>Арматура Ø10 А500С, L=540мм - 88шт.</t>
  </si>
  <si>
    <t>Арматура Ø10 А500С, L=440мм - 156шт.</t>
  </si>
  <si>
    <t>Вертикальная гидроизоляция ростверков</t>
  </si>
  <si>
    <t>Монтаж и демонтаж опалубки</t>
  </si>
  <si>
    <t>Каркас Кр1 (6,784 кг/шт) 
л.6 п.3 Контактная точечная сварка</t>
  </si>
  <si>
    <t>Каркас Кр1 (6,784 кг/шт)
л.6 п.3 Контактная точечная сварка</t>
  </si>
  <si>
    <t>Каркас Кр2 (8,472 кг/шт) 
л.6 п.3 Контактная точечная сварка</t>
  </si>
  <si>
    <t>Сетка С3 (42,824 кг/шт) 
л.6 п.3 Контактная точечная сварка</t>
  </si>
  <si>
    <t>Каркас Кр3 (10,123 кг/шт) 
л.6 п.3 Контактная точечная сварка</t>
  </si>
  <si>
    <t>Каркас Кр4 (14,030 кг/шт)
л.6 п.3 Контактная точечная сварка</t>
  </si>
  <si>
    <t>Сетка С4 (106,666  кг/шт)
л.6 п.3 Контактная точечная сварка</t>
  </si>
  <si>
    <t>Каркас Кр5 (13,471 кг/шт) 
л.6 п.3 Контактная точечная сварка</t>
  </si>
  <si>
    <t>Каркас Кр6 (19,660 кг/шт)
л.6 п.3 Контактная точечная сварка</t>
  </si>
  <si>
    <t xml:space="preserve"> Ø12 А500С - 2,388 тн </t>
  </si>
  <si>
    <t xml:space="preserve"> Ø14 А500С - 6,008 тн </t>
  </si>
  <si>
    <t xml:space="preserve"> Ø12 А500С - 2,497 тн </t>
  </si>
  <si>
    <t xml:space="preserve"> Ø14 А500С - 7,677 тн </t>
  </si>
  <si>
    <t xml:space="preserve"> Ø12 А500С - 0,149 тн </t>
  </si>
  <si>
    <t xml:space="preserve"> Ø12 А500С - 0,186 тн </t>
  </si>
  <si>
    <t xml:space="preserve"> Ø14 А500С - 0,942 тн </t>
  </si>
  <si>
    <t xml:space="preserve"> Ø12 А500С - 0,061 тн </t>
  </si>
  <si>
    <t xml:space="preserve"> Ø12 А500С - 0,028 тн </t>
  </si>
  <si>
    <t xml:space="preserve"> Ø14 А500С - 0,213 тн </t>
  </si>
  <si>
    <t xml:space="preserve"> Ø12 А500С - 0,121 тн </t>
  </si>
  <si>
    <t xml:space="preserve"> Ø12 А500С - 0,039 тн </t>
  </si>
  <si>
    <t xml:space="preserve">Каркас Кр8 (5,346 кг/шт) </t>
  </si>
  <si>
    <t>Арматура Ø16 А500С - 1,057 тн</t>
  </si>
  <si>
    <t>Арматура Ø16 А500С - 3,171 тн</t>
  </si>
  <si>
    <t>Арматура Ø16 А500С - 0,934 тн</t>
  </si>
  <si>
    <t>Арматура Ø16 А500С - 0,137 тн</t>
  </si>
  <si>
    <t>Арматура Ø16 А500С - 0,189 тн</t>
  </si>
  <si>
    <t>*Расход материалов принять согласно нормам ГЭСН (кроме указанных)</t>
  </si>
  <si>
    <t>Арматура Ø16 А500С - 84 мп.</t>
  </si>
  <si>
    <t>Арматура Ø16 А500С - 504 мп.</t>
  </si>
  <si>
    <t>Обмазка битумной мастикой за 2 раза
Праймер битумный ТехноНиколь №01 (расход = 0,25 л/м2)
Мастика гидроизоляционная  ТехноНиколь №24 (расход = 2,4 кг/м2)</t>
  </si>
  <si>
    <t>Арматура Ø10 А500С - 0,734 тн</t>
  </si>
  <si>
    <t>Каркас Кр7</t>
  </si>
  <si>
    <t>Арматура Ø16 А500С - 2721 мп.</t>
  </si>
  <si>
    <t>Арматура Ø16 А500С - 187 мп.</t>
  </si>
  <si>
    <r>
      <t xml:space="preserve">Устройство монолитного  железобетонного ростверка
РЛм-1 -334,96 пог.м
</t>
    </r>
    <r>
      <rPr>
        <sz val="12"/>
        <color theme="1"/>
        <rFont val="Times New Roman"/>
        <family val="1"/>
        <charset val="204"/>
      </rPr>
      <t>(л.3 предварительная выдача от 14.11.25)</t>
    </r>
  </si>
  <si>
    <t>Рабочая документация шифр 7018-КЖ.0 (предварительная выдача)</t>
  </si>
  <si>
    <t xml:space="preserve">Выпуска из ростверка:
Деталь П1 Ø10 А500С (1,937 кг/шт), L=3,140м </t>
  </si>
  <si>
    <t xml:space="preserve">Каркас Кр9 (1,925 кг/шт) </t>
  </si>
  <si>
    <t>Арматура Ø8 А500С - 0,627 тн</t>
  </si>
  <si>
    <r>
      <t xml:space="preserve">Устройство монолитного  железобетонного ростверка
РЛм-4 -15 пог.м
</t>
    </r>
    <r>
      <rPr>
        <sz val="12"/>
        <color theme="1"/>
        <rFont val="Times New Roman"/>
        <family val="1"/>
        <charset val="204"/>
      </rPr>
      <t>(л.3 предварительная выдача от 14.11.25)</t>
    </r>
  </si>
  <si>
    <r>
      <t xml:space="preserve">Устройство монолитного  железобетонного ростверка
РЛм-3 -8,7 пог.м
</t>
    </r>
    <r>
      <rPr>
        <sz val="12"/>
        <color theme="1"/>
        <rFont val="Times New Roman"/>
        <family val="1"/>
        <charset val="204"/>
      </rPr>
      <t>(л.3 предварительная выдача от 14.11.25)</t>
    </r>
  </si>
  <si>
    <r>
      <t xml:space="preserve">Устройство монолитного  железобетонного ростверка
РЛм-2 -49,3 пог.м
</t>
    </r>
    <r>
      <rPr>
        <sz val="12"/>
        <color theme="1"/>
        <rFont val="Times New Roman"/>
        <family val="1"/>
        <charset val="204"/>
      </rPr>
      <t>(л.3 предварительная выдача от 14.11.25)</t>
    </r>
  </si>
  <si>
    <t xml:space="preserve">Каркас Кр7 (4,726 кг/шт) </t>
  </si>
  <si>
    <t>Арматура Ø10 А500С - 1,578 тн</t>
  </si>
  <si>
    <t>Сетка С1 (34,139 кг/шт)
л.6 п.3 Контактная точечная сварка</t>
  </si>
  <si>
    <t>Сетка С2 (41,725 кг/шт) 
л.6 п.3 Контактная точечная сварка</t>
  </si>
  <si>
    <t>Арматура Ø10 А500С - 0,464 тн</t>
  </si>
  <si>
    <t>Арматура Ø10 А500С - 0,069 тн</t>
  </si>
  <si>
    <t>Арматура Ø10 А500С - 0,095 тн</t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</si>
  <si>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Рм-5-1 шт. </t>
    </r>
    <r>
      <rPr>
        <sz val="12"/>
        <color theme="1"/>
        <rFont val="Times New Roman"/>
        <family val="1"/>
        <charset val="204"/>
      </rPr>
      <t xml:space="preserve">
(л.15-л.17 (предварительная выдача от 23.10.25), л.18 предварительная выдача от 14.11.25))</t>
    </r>
  </si>
  <si>
    <t>Ведомость объёмов работ №3 от 19.11.2025г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</si>
</sst>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"/>
    <numFmt numFmtId="167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2" fillId="0" borderId="8" xfId="0" applyFont="1" applyBorder="1"/>
    <xf numFmtId="2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/>
    <xf numFmtId="1" fontId="6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0" borderId="0" xfId="0" quotePrefix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167" fontId="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2" fontId="3" fillId="0" borderId="0" xfId="0" applyNumberFormat="1" applyFont="1"/>
    <xf numFmtId="0" fontId="0" fillId="4" borderId="0" xfId="0" applyFill="1"/>
    <xf numFmtId="0" fontId="1" fillId="0" borderId="0" xfId="0" applyFont="1"/>
    <xf numFmtId="0" fontId="3" fillId="4" borderId="0" xfId="0" applyFont="1" applyFill="1"/>
    <xf numFmtId="0" fontId="0" fillId="0" borderId="0" xfId="0" applyFill="1"/>
    <xf numFmtId="0" fontId="3" fillId="0" borderId="0" xfId="0" applyFont="1" applyFill="1"/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2" fontId="3" fillId="4" borderId="0" xfId="0" applyNumberFormat="1" applyFont="1" applyFill="1"/>
    <xf numFmtId="2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6" fontId="6" fillId="0" borderId="2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wrapText="1"/>
    </xf>
    <xf numFmtId="2" fontId="6" fillId="0" borderId="23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164" fontId="6" fillId="0" borderId="0" xfId="0" applyNumberFormat="1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64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64" fontId="6" fillId="0" borderId="0" xfId="0" applyNumberFormat="1" applyFont="1" applyFill="1"/>
    <xf numFmtId="164" fontId="6" fillId="0" borderId="0" xfId="0" applyNumberFormat="1" applyFont="1" applyFill="1" applyBorder="1" applyAlignment="1">
      <alignment horizontal="left" vertical="center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/>
    <xf numFmtId="164" fontId="6" fillId="0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21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9"/>
  <sheetViews>
    <sheetView tabSelected="1" topLeftCell="A124" zoomScaleNormal="100" workbookViewId="0">
      <selection activeCell="D5" sqref="D5"/>
    </sheetView>
  </sheetViews>
  <sheetFormatPr defaultRowHeight="15.75" x14ac:dyDescent="0.25"/>
  <cols>
    <col min="1" max="1" width="6.140625" style="34" customWidth="1"/>
    <col min="2" max="2" width="8.42578125" style="35" customWidth="1"/>
    <col min="3" max="3" width="69.42578125" style="34" customWidth="1"/>
    <col min="4" max="4" width="9.140625" style="35"/>
    <col min="5" max="5" width="12.7109375" style="35" customWidth="1"/>
    <col min="6" max="6" width="69.85546875" style="34" customWidth="1"/>
    <col min="7" max="7" width="7.7109375" style="110" hidden="1" customWidth="1"/>
    <col min="8" max="13" width="9.140625" style="34" hidden="1" customWidth="1"/>
    <col min="14" max="16384" width="9.140625" style="34"/>
  </cols>
  <sheetData>
    <row r="2" spans="2:12" ht="18.75" x14ac:dyDescent="0.25">
      <c r="B2" s="166" t="s">
        <v>130</v>
      </c>
      <c r="C2" s="166"/>
      <c r="D2" s="166"/>
      <c r="E2" s="166"/>
      <c r="F2" s="166"/>
      <c r="G2" s="101"/>
    </row>
    <row r="3" spans="2:12" ht="24" customHeight="1" x14ac:dyDescent="0.25">
      <c r="B3" s="167" t="s">
        <v>58</v>
      </c>
      <c r="C3" s="167"/>
      <c r="D3" s="167"/>
      <c r="E3" s="167"/>
      <c r="F3" s="167"/>
      <c r="G3" s="102"/>
    </row>
    <row r="4" spans="2:12" s="46" customFormat="1" ht="22.5" customHeight="1" x14ac:dyDescent="0.25">
      <c r="B4" s="168" t="s">
        <v>115</v>
      </c>
      <c r="C4" s="168"/>
      <c r="D4" s="168"/>
      <c r="E4" s="168"/>
      <c r="F4" s="168"/>
      <c r="G4" s="103"/>
    </row>
    <row r="5" spans="2:12" ht="17.25" customHeight="1" thickBot="1" x14ac:dyDescent="0.3">
      <c r="B5" s="86" t="s">
        <v>106</v>
      </c>
      <c r="C5" s="33"/>
      <c r="D5" s="33"/>
      <c r="E5" s="33"/>
      <c r="F5" s="33"/>
      <c r="G5" s="103"/>
    </row>
    <row r="6" spans="2:12" ht="32.25" thickTop="1" x14ac:dyDescent="0.25">
      <c r="B6" s="30" t="s">
        <v>34</v>
      </c>
      <c r="C6" s="31" t="s">
        <v>35</v>
      </c>
      <c r="D6" s="31" t="s">
        <v>7</v>
      </c>
      <c r="E6" s="31" t="s">
        <v>36</v>
      </c>
      <c r="F6" s="32" t="s">
        <v>37</v>
      </c>
      <c r="G6" s="103"/>
    </row>
    <row r="7" spans="2:12" ht="36" customHeight="1" x14ac:dyDescent="0.25">
      <c r="B7" s="169" t="s">
        <v>59</v>
      </c>
      <c r="C7" s="170"/>
      <c r="D7" s="170"/>
      <c r="E7" s="170"/>
      <c r="F7" s="171"/>
      <c r="G7" s="104"/>
    </row>
    <row r="8" spans="2:12" x14ac:dyDescent="0.25">
      <c r="B8" s="73">
        <v>1</v>
      </c>
      <c r="C8" s="72" t="s">
        <v>0</v>
      </c>
      <c r="D8" s="36" t="s">
        <v>1</v>
      </c>
      <c r="E8" s="38">
        <f>88*(ROUND(((1.65+0.1+0.1)*(1.65+0.1+0.1)*0.1),2))</f>
        <v>29.92</v>
      </c>
      <c r="F8" s="47" t="s">
        <v>2</v>
      </c>
      <c r="G8" s="105"/>
      <c r="H8" s="59"/>
      <c r="K8" s="77"/>
    </row>
    <row r="9" spans="2:12" ht="15.75" customHeight="1" x14ac:dyDescent="0.25">
      <c r="B9" s="136">
        <v>2</v>
      </c>
      <c r="C9" s="155" t="s">
        <v>38</v>
      </c>
      <c r="D9" s="36" t="s">
        <v>1</v>
      </c>
      <c r="E9" s="38">
        <f>(ROUND((1.65*1.65*0.6),2))*88</f>
        <v>143.44</v>
      </c>
      <c r="F9" s="70" t="s">
        <v>3</v>
      </c>
      <c r="G9" s="106"/>
    </row>
    <row r="10" spans="2:12" ht="15.75" customHeight="1" x14ac:dyDescent="0.25">
      <c r="B10" s="137"/>
      <c r="C10" s="156"/>
      <c r="D10" s="36" t="s">
        <v>5</v>
      </c>
      <c r="E10" s="83">
        <f>4*88</f>
        <v>352</v>
      </c>
      <c r="F10" s="131" t="s">
        <v>79</v>
      </c>
      <c r="G10" s="104"/>
      <c r="H10" s="40"/>
    </row>
    <row r="11" spans="2:12" ht="13.5" customHeight="1" x14ac:dyDescent="0.25">
      <c r="B11" s="137"/>
      <c r="C11" s="156"/>
      <c r="D11" s="141" t="s">
        <v>4</v>
      </c>
      <c r="E11" s="144">
        <f>(88*(ROUND((1.57*2*0.888)+(0.5*9*0.888),3)*4))/1000</f>
        <v>2.3879679999999999</v>
      </c>
      <c r="F11" s="154"/>
      <c r="G11" s="104"/>
      <c r="H11" s="81"/>
    </row>
    <row r="12" spans="2:12" ht="15.75" customHeight="1" x14ac:dyDescent="0.25">
      <c r="B12" s="137"/>
      <c r="C12" s="156"/>
      <c r="D12" s="143"/>
      <c r="E12" s="146"/>
      <c r="F12" s="69" t="s">
        <v>88</v>
      </c>
      <c r="G12" s="104">
        <f>6.784*352/1000</f>
        <v>2.3879679999999999</v>
      </c>
      <c r="H12" s="81">
        <f>((1.57*2*0.888)+(0.5*9*0.888))*4*88/1000</f>
        <v>2.3880806400000001</v>
      </c>
      <c r="I12" s="114">
        <f>1.57*1*0.888</f>
        <v>1.3941600000000001</v>
      </c>
      <c r="J12" s="35">
        <f>1.394*2</f>
        <v>2.7879999999999998</v>
      </c>
      <c r="K12" s="130">
        <f>2.788+3.996</f>
        <v>6.7839999999999998</v>
      </c>
      <c r="L12" s="129">
        <f>6.784*88*4/1000</f>
        <v>2.3879679999999999</v>
      </c>
    </row>
    <row r="13" spans="2:12" x14ac:dyDescent="0.25">
      <c r="B13" s="137"/>
      <c r="C13" s="156"/>
      <c r="D13" s="36" t="s">
        <v>5</v>
      </c>
      <c r="E13" s="83">
        <f>2*88</f>
        <v>176</v>
      </c>
      <c r="F13" s="131" t="s">
        <v>124</v>
      </c>
      <c r="G13" s="104"/>
      <c r="H13" s="40"/>
      <c r="I13" s="35">
        <f>0.5*0.888</f>
        <v>0.44400000000000001</v>
      </c>
      <c r="J13" s="35">
        <f>0.444*9</f>
        <v>3.996</v>
      </c>
      <c r="K13" s="130"/>
      <c r="L13" s="129"/>
    </row>
    <row r="14" spans="2:12" x14ac:dyDescent="0.25">
      <c r="B14" s="137"/>
      <c r="C14" s="156"/>
      <c r="D14" s="141" t="s">
        <v>4</v>
      </c>
      <c r="E14" s="144">
        <f>(88*2*34.139)/1000</f>
        <v>6.0084640000000009</v>
      </c>
      <c r="F14" s="154"/>
      <c r="G14" s="104"/>
      <c r="H14" s="40"/>
      <c r="I14" s="35"/>
      <c r="J14" s="35"/>
      <c r="K14" s="35"/>
      <c r="L14" s="35"/>
    </row>
    <row r="15" spans="2:12" x14ac:dyDescent="0.25">
      <c r="B15" s="138"/>
      <c r="C15" s="157"/>
      <c r="D15" s="143"/>
      <c r="E15" s="146"/>
      <c r="F15" s="69" t="s">
        <v>89</v>
      </c>
      <c r="G15" s="104"/>
      <c r="H15" s="80">
        <f>(1.57*1.208*18)*2*88/1000</f>
        <v>6.00830208</v>
      </c>
      <c r="I15" s="114"/>
      <c r="J15" s="35"/>
      <c r="K15" s="35"/>
      <c r="L15" s="35"/>
    </row>
    <row r="16" spans="2:12" x14ac:dyDescent="0.25">
      <c r="B16" s="75">
        <v>3</v>
      </c>
      <c r="C16" s="74" t="s">
        <v>78</v>
      </c>
      <c r="D16" s="36" t="s">
        <v>39</v>
      </c>
      <c r="E16" s="38">
        <f>E17</f>
        <v>348.47999999999996</v>
      </c>
      <c r="F16" s="69" t="s">
        <v>68</v>
      </c>
      <c r="G16" s="104"/>
      <c r="H16" s="40"/>
    </row>
    <row r="17" spans="2:8" ht="47.25" x14ac:dyDescent="0.25">
      <c r="B17" s="75">
        <v>4</v>
      </c>
      <c r="C17" s="90" t="s">
        <v>77</v>
      </c>
      <c r="D17" s="36" t="s">
        <v>39</v>
      </c>
      <c r="E17" s="38">
        <f>6.6*88*0.6</f>
        <v>348.47999999999996</v>
      </c>
      <c r="F17" s="89" t="s">
        <v>109</v>
      </c>
      <c r="G17" s="107"/>
      <c r="H17" s="40"/>
    </row>
    <row r="18" spans="2:8" ht="39" customHeight="1" x14ac:dyDescent="0.25">
      <c r="B18" s="150" t="s">
        <v>60</v>
      </c>
      <c r="C18" s="151"/>
      <c r="D18" s="151"/>
      <c r="E18" s="151"/>
      <c r="F18" s="152"/>
      <c r="G18" s="104"/>
    </row>
    <row r="19" spans="2:8" x14ac:dyDescent="0.25">
      <c r="B19" s="73">
        <v>5</v>
      </c>
      <c r="C19" s="72" t="s">
        <v>0</v>
      </c>
      <c r="D19" s="36" t="s">
        <v>1</v>
      </c>
      <c r="E19" s="38">
        <f>92*(ROUND((((1.65+0.1+0.1)*(1.65+0.1+0.1)*0.1)),2))</f>
        <v>31.28</v>
      </c>
      <c r="F19" s="47" t="s">
        <v>2</v>
      </c>
      <c r="G19" s="105"/>
    </row>
    <row r="20" spans="2:8" ht="15.75" customHeight="1" x14ac:dyDescent="0.25">
      <c r="B20" s="136">
        <v>6</v>
      </c>
      <c r="C20" s="155" t="s">
        <v>38</v>
      </c>
      <c r="D20" s="36" t="s">
        <v>1</v>
      </c>
      <c r="E20" s="38">
        <f>(ROUND((1.65*1.65*0.6),2))*92</f>
        <v>149.95999999999998</v>
      </c>
      <c r="F20" s="70" t="s">
        <v>3</v>
      </c>
      <c r="G20" s="106"/>
    </row>
    <row r="21" spans="2:8" x14ac:dyDescent="0.25">
      <c r="B21" s="137"/>
      <c r="C21" s="156"/>
      <c r="D21" s="36" t="s">
        <v>5</v>
      </c>
      <c r="E21" s="84">
        <f>4*92</f>
        <v>368</v>
      </c>
      <c r="F21" s="131" t="s">
        <v>79</v>
      </c>
      <c r="G21" s="111">
        <f>6.784*368/1000</f>
        <v>2.4965119999999996</v>
      </c>
      <c r="H21" s="40"/>
    </row>
    <row r="22" spans="2:8" x14ac:dyDescent="0.25">
      <c r="B22" s="137"/>
      <c r="C22" s="156"/>
      <c r="D22" s="141" t="s">
        <v>4</v>
      </c>
      <c r="E22" s="144">
        <f>(92*(ROUND((1.57*2*0.888)+(0.5*9*0.888),3)*4))/1000</f>
        <v>2.4965119999999996</v>
      </c>
      <c r="F22" s="154"/>
      <c r="G22" s="104"/>
      <c r="H22" s="40"/>
    </row>
    <row r="23" spans="2:8" x14ac:dyDescent="0.25">
      <c r="B23" s="137"/>
      <c r="C23" s="156"/>
      <c r="D23" s="143"/>
      <c r="E23" s="146"/>
      <c r="F23" s="112" t="s">
        <v>90</v>
      </c>
      <c r="G23" s="104"/>
      <c r="H23" s="81">
        <f>((1.57*2*0.888)+(0.5*9*0.888))*4*92/1000</f>
        <v>2.4966297600000003</v>
      </c>
    </row>
    <row r="24" spans="2:8" x14ac:dyDescent="0.25">
      <c r="B24" s="137"/>
      <c r="C24" s="156"/>
      <c r="D24" s="36" t="s">
        <v>5</v>
      </c>
      <c r="E24" s="84">
        <f>2*92</f>
        <v>184</v>
      </c>
      <c r="F24" s="131" t="s">
        <v>125</v>
      </c>
      <c r="G24" s="111">
        <f>41.724*184/1000</f>
        <v>7.6772159999999996</v>
      </c>
      <c r="H24" s="40"/>
    </row>
    <row r="25" spans="2:8" x14ac:dyDescent="0.25">
      <c r="B25" s="137"/>
      <c r="C25" s="156"/>
      <c r="D25" s="141" t="s">
        <v>4</v>
      </c>
      <c r="E25" s="144">
        <f>(92*41.725*2)/1000</f>
        <v>7.6774000000000004</v>
      </c>
      <c r="F25" s="154"/>
      <c r="G25" s="104"/>
      <c r="H25" s="40"/>
    </row>
    <row r="26" spans="2:8" x14ac:dyDescent="0.25">
      <c r="B26" s="138"/>
      <c r="C26" s="157"/>
      <c r="D26" s="143"/>
      <c r="E26" s="146"/>
      <c r="F26" s="69" t="s">
        <v>91</v>
      </c>
      <c r="G26" s="104"/>
      <c r="H26" s="80">
        <f>(1.57*1.208*22)*2*92/1000</f>
        <v>7.6772748799999997</v>
      </c>
    </row>
    <row r="27" spans="2:8" x14ac:dyDescent="0.25">
      <c r="B27" s="75">
        <v>7</v>
      </c>
      <c r="C27" s="74" t="s">
        <v>78</v>
      </c>
      <c r="D27" s="36" t="s">
        <v>39</v>
      </c>
      <c r="E27" s="38">
        <f>E28</f>
        <v>303.47999999999996</v>
      </c>
      <c r="F27" s="69" t="s">
        <v>68</v>
      </c>
      <c r="G27" s="104"/>
      <c r="H27" s="40"/>
    </row>
    <row r="28" spans="2:8" ht="51" customHeight="1" x14ac:dyDescent="0.25">
      <c r="B28" s="75">
        <v>8</v>
      </c>
      <c r="C28" s="90" t="s">
        <v>77</v>
      </c>
      <c r="D28" s="36" t="s">
        <v>39</v>
      </c>
      <c r="E28" s="38">
        <f>((92*6.6)-(164*0.5)-(4*0.6)-(0.85*20))*0.6</f>
        <v>303.47999999999996</v>
      </c>
      <c r="F28" s="118" t="s">
        <v>109</v>
      </c>
      <c r="G28" s="107"/>
      <c r="H28" s="40"/>
    </row>
    <row r="29" spans="2:8" ht="34.5" customHeight="1" x14ac:dyDescent="0.25">
      <c r="B29" s="150" t="s">
        <v>61</v>
      </c>
      <c r="C29" s="151"/>
      <c r="D29" s="151"/>
      <c r="E29" s="151"/>
      <c r="F29" s="152"/>
      <c r="G29" s="104"/>
    </row>
    <row r="30" spans="2:8" x14ac:dyDescent="0.25">
      <c r="B30" s="73">
        <v>9</v>
      </c>
      <c r="C30" s="72" t="s">
        <v>0</v>
      </c>
      <c r="D30" s="36" t="s">
        <v>1</v>
      </c>
      <c r="E30" s="38">
        <f>11*(ROUND((1.85*(2.1+0.1+0.1)*0.1),2))</f>
        <v>4.7299999999999995</v>
      </c>
      <c r="F30" s="47" t="s">
        <v>2</v>
      </c>
      <c r="G30" s="105"/>
    </row>
    <row r="31" spans="2:8" ht="15.75" customHeight="1" x14ac:dyDescent="0.25">
      <c r="B31" s="136">
        <v>10</v>
      </c>
      <c r="C31" s="155" t="s">
        <v>38</v>
      </c>
      <c r="D31" s="36" t="s">
        <v>1</v>
      </c>
      <c r="E31" s="38">
        <f>(ROUND((1.65*2.1*0.6),2))*11</f>
        <v>22.880000000000003</v>
      </c>
      <c r="F31" s="70" t="s">
        <v>3</v>
      </c>
      <c r="G31" s="106"/>
    </row>
    <row r="32" spans="2:8" ht="16.5" customHeight="1" x14ac:dyDescent="0.25">
      <c r="B32" s="137"/>
      <c r="C32" s="156"/>
      <c r="D32" s="36" t="s">
        <v>5</v>
      </c>
      <c r="E32" s="83">
        <f>11*2</f>
        <v>22</v>
      </c>
      <c r="F32" s="131" t="s">
        <v>80</v>
      </c>
      <c r="G32" s="111">
        <f>6.784*22/1000</f>
        <v>0.14924799999999999</v>
      </c>
      <c r="H32" s="40"/>
    </row>
    <row r="33" spans="2:8" x14ac:dyDescent="0.25">
      <c r="B33" s="137"/>
      <c r="C33" s="156"/>
      <c r="D33" s="141" t="s">
        <v>4</v>
      </c>
      <c r="E33" s="158">
        <f>(11*(ROUND((1.57*2*0.888)+(0.5*9*0.888),3)*2))/1000</f>
        <v>0.14924799999999999</v>
      </c>
      <c r="F33" s="154"/>
      <c r="G33" s="104"/>
      <c r="H33" s="40"/>
    </row>
    <row r="34" spans="2:8" x14ac:dyDescent="0.25">
      <c r="B34" s="137"/>
      <c r="C34" s="156"/>
      <c r="D34" s="143"/>
      <c r="E34" s="160"/>
      <c r="F34" s="112" t="s">
        <v>92</v>
      </c>
      <c r="G34" s="104"/>
      <c r="H34" s="81">
        <f>((1.57*2*0.888)+(0.5*9*0.888))*2*11/1000</f>
        <v>0.14925504000000001</v>
      </c>
    </row>
    <row r="35" spans="2:8" x14ac:dyDescent="0.25">
      <c r="B35" s="137"/>
      <c r="C35" s="156"/>
      <c r="D35" s="36" t="s">
        <v>5</v>
      </c>
      <c r="E35" s="83">
        <f>11*2</f>
        <v>22</v>
      </c>
      <c r="F35" s="131" t="s">
        <v>81</v>
      </c>
      <c r="G35" s="111">
        <f>8.472*22/1000</f>
        <v>0.18638399999999999</v>
      </c>
      <c r="H35" s="40"/>
    </row>
    <row r="36" spans="2:8" x14ac:dyDescent="0.25">
      <c r="B36" s="137"/>
      <c r="C36" s="156"/>
      <c r="D36" s="141" t="s">
        <v>4</v>
      </c>
      <c r="E36" s="144">
        <f>(11*(ROUND((2.02*2*0.888)+(0.5*11*0.888),3)*2))/1000</f>
        <v>0.18638399999999999</v>
      </c>
      <c r="F36" s="154"/>
      <c r="G36" s="104"/>
      <c r="H36" s="40"/>
    </row>
    <row r="37" spans="2:8" x14ac:dyDescent="0.25">
      <c r="B37" s="137"/>
      <c r="C37" s="156"/>
      <c r="D37" s="143"/>
      <c r="E37" s="146"/>
      <c r="F37" s="112" t="s">
        <v>93</v>
      </c>
      <c r="G37" s="104"/>
      <c r="H37" s="81">
        <f>((2.02*2*0.888)+(0.5*11*0.888))*2*11/1000</f>
        <v>0.18637344</v>
      </c>
    </row>
    <row r="38" spans="2:8" x14ac:dyDescent="0.25">
      <c r="B38" s="137"/>
      <c r="C38" s="156"/>
      <c r="D38" s="36" t="s">
        <v>5</v>
      </c>
      <c r="E38" s="83">
        <f>11*2</f>
        <v>22</v>
      </c>
      <c r="F38" s="131" t="s">
        <v>82</v>
      </c>
      <c r="G38" s="111">
        <f>42.824*22/1000</f>
        <v>0.94212799999999997</v>
      </c>
      <c r="H38" s="40"/>
    </row>
    <row r="39" spans="2:8" x14ac:dyDescent="0.25">
      <c r="B39" s="137"/>
      <c r="C39" s="156"/>
      <c r="D39" s="141" t="s">
        <v>4</v>
      </c>
      <c r="E39" s="144">
        <f>(11*(ROUND((2.02*9*1.208+1.57*11*1.208),3)*2))/1000</f>
        <v>0.94212799999999997</v>
      </c>
      <c r="F39" s="154"/>
      <c r="G39" s="104"/>
      <c r="H39" s="40"/>
    </row>
    <row r="40" spans="2:8" x14ac:dyDescent="0.25">
      <c r="B40" s="138"/>
      <c r="C40" s="157"/>
      <c r="D40" s="143"/>
      <c r="E40" s="146"/>
      <c r="F40" s="69" t="s">
        <v>94</v>
      </c>
      <c r="G40" s="104"/>
      <c r="H40" s="80">
        <f>(2.02*9+1.57*11)*1.208*2*11/1000</f>
        <v>0.94211919999999993</v>
      </c>
    </row>
    <row r="41" spans="2:8" x14ac:dyDescent="0.25">
      <c r="B41" s="75">
        <v>11</v>
      </c>
      <c r="C41" s="74" t="s">
        <v>78</v>
      </c>
      <c r="D41" s="36" t="s">
        <v>39</v>
      </c>
      <c r="E41" s="38">
        <f>E42</f>
        <v>46.8</v>
      </c>
      <c r="F41" s="69" t="s">
        <v>68</v>
      </c>
      <c r="G41" s="104"/>
      <c r="H41" s="40"/>
    </row>
    <row r="42" spans="2:8" ht="47.25" x14ac:dyDescent="0.25">
      <c r="B42" s="75">
        <v>12</v>
      </c>
      <c r="C42" s="90" t="s">
        <v>77</v>
      </c>
      <c r="D42" s="36" t="s">
        <v>39</v>
      </c>
      <c r="E42" s="38">
        <f>(((7.5)*6)+(2.1+1.65-0.5+2.1+1.65-0.5)+(1.65+2.1+1.65+2.1-0.5)+(2.1-0.5+1.65+2.1+1.65-0.5)+(2.1+1.65+2.1-0.5+1.65-0.5)+(2.1+1.65-0.5+2.1+1.65-0.5))*0.6</f>
        <v>46.8</v>
      </c>
      <c r="F42" s="89" t="s">
        <v>109</v>
      </c>
      <c r="G42" s="107"/>
      <c r="H42" s="40"/>
    </row>
    <row r="43" spans="2:8" ht="32.25" customHeight="1" x14ac:dyDescent="0.25">
      <c r="B43" s="150" t="s">
        <v>62</v>
      </c>
      <c r="C43" s="151"/>
      <c r="D43" s="151"/>
      <c r="E43" s="151"/>
      <c r="F43" s="152"/>
      <c r="G43" s="104"/>
      <c r="H43" s="40"/>
    </row>
    <row r="44" spans="2:8" x14ac:dyDescent="0.25">
      <c r="B44" s="73">
        <v>13</v>
      </c>
      <c r="C44" s="72" t="s">
        <v>0</v>
      </c>
      <c r="D44" s="36" t="s">
        <v>1</v>
      </c>
      <c r="E44" s="38">
        <f>1*(ROUND((((3.48+0.1+0.1)*(2.53+0.1+0.1)*0.1)),2))</f>
        <v>1</v>
      </c>
      <c r="F44" s="47" t="s">
        <v>2</v>
      </c>
      <c r="G44" s="105"/>
    </row>
    <row r="45" spans="2:8" ht="15.75" customHeight="1" x14ac:dyDescent="0.25">
      <c r="B45" s="136">
        <v>14</v>
      </c>
      <c r="C45" s="155" t="s">
        <v>38</v>
      </c>
      <c r="D45" s="36" t="s">
        <v>1</v>
      </c>
      <c r="E45" s="38">
        <f>1*(3.48*2.53*0.6)</f>
        <v>5.2826399999999998</v>
      </c>
      <c r="F45" s="70" t="s">
        <v>3</v>
      </c>
      <c r="G45" s="106"/>
    </row>
    <row r="46" spans="2:8" ht="19.5" customHeight="1" x14ac:dyDescent="0.25">
      <c r="B46" s="137"/>
      <c r="C46" s="156"/>
      <c r="D46" s="36" t="s">
        <v>5</v>
      </c>
      <c r="E46" s="83">
        <f>1*6</f>
        <v>6</v>
      </c>
      <c r="F46" s="131" t="s">
        <v>83</v>
      </c>
      <c r="G46" s="111">
        <f>10.123*6/1000</f>
        <v>6.0738E-2</v>
      </c>
      <c r="H46" s="40"/>
    </row>
    <row r="47" spans="2:8" x14ac:dyDescent="0.25">
      <c r="B47" s="137"/>
      <c r="C47" s="156"/>
      <c r="D47" s="141" t="s">
        <v>4</v>
      </c>
      <c r="E47" s="144">
        <f>(ROUND((2.45*2*0.888)+(0.5*13*0.888),3)*6)/1000</f>
        <v>6.0738E-2</v>
      </c>
      <c r="F47" s="154"/>
      <c r="G47" s="104"/>
      <c r="H47" s="40"/>
    </row>
    <row r="48" spans="2:8" x14ac:dyDescent="0.25">
      <c r="B48" s="137"/>
      <c r="C48" s="156"/>
      <c r="D48" s="143"/>
      <c r="E48" s="146"/>
      <c r="F48" s="112" t="s">
        <v>95</v>
      </c>
      <c r="G48" s="104"/>
      <c r="H48" s="81">
        <f>((2.45*2*0.888)+(0.5*13*0.888))*6*1/1000</f>
        <v>6.0739200000000007E-2</v>
      </c>
    </row>
    <row r="49" spans="2:8" x14ac:dyDescent="0.25">
      <c r="B49" s="137"/>
      <c r="C49" s="156"/>
      <c r="D49" s="36" t="s">
        <v>5</v>
      </c>
      <c r="E49" s="83">
        <f>1*2</f>
        <v>2</v>
      </c>
      <c r="F49" s="131" t="s">
        <v>84</v>
      </c>
      <c r="G49" s="111">
        <f>14.03*2/1000</f>
        <v>2.8059999999999998E-2</v>
      </c>
      <c r="H49" s="40"/>
    </row>
    <row r="50" spans="2:8" x14ac:dyDescent="0.25">
      <c r="B50" s="137"/>
      <c r="C50" s="156"/>
      <c r="D50" s="141" t="s">
        <v>4</v>
      </c>
      <c r="E50" s="144">
        <f>(ROUND((3.4*2*0.888)+(0.5*18*0.888),3)*2)/1000</f>
        <v>2.8059999999999998E-2</v>
      </c>
      <c r="F50" s="154"/>
      <c r="G50" s="104"/>
      <c r="H50" s="40"/>
    </row>
    <row r="51" spans="2:8" x14ac:dyDescent="0.25">
      <c r="B51" s="137"/>
      <c r="C51" s="156"/>
      <c r="D51" s="143"/>
      <c r="E51" s="146"/>
      <c r="F51" s="112" t="s">
        <v>96</v>
      </c>
      <c r="G51" s="104"/>
      <c r="H51" s="81">
        <f>((3.4*2*0.888)+(0.5*18*0.888))*2*1/1000</f>
        <v>2.80608E-2</v>
      </c>
    </row>
    <row r="52" spans="2:8" x14ac:dyDescent="0.25">
      <c r="B52" s="137"/>
      <c r="C52" s="156"/>
      <c r="D52" s="36" t="s">
        <v>5</v>
      </c>
      <c r="E52" s="83">
        <f>1*2</f>
        <v>2</v>
      </c>
      <c r="F52" s="131" t="s">
        <v>85</v>
      </c>
      <c r="G52" s="111">
        <f>106.666*2/1000</f>
        <v>0.21333199999999999</v>
      </c>
      <c r="H52" s="40"/>
    </row>
    <row r="53" spans="2:8" x14ac:dyDescent="0.25">
      <c r="B53" s="137"/>
      <c r="C53" s="156"/>
      <c r="D53" s="141" t="s">
        <v>4</v>
      </c>
      <c r="E53" s="144">
        <f>(1*ROUND((3.4*13*1.208+2.45*18*1.208),3)*2)/1000</f>
        <v>0.21333199999999999</v>
      </c>
      <c r="F53" s="154"/>
      <c r="G53" s="104"/>
      <c r="H53" s="80"/>
    </row>
    <row r="54" spans="2:8" x14ac:dyDescent="0.25">
      <c r="B54" s="137"/>
      <c r="C54" s="156"/>
      <c r="D54" s="143"/>
      <c r="E54" s="146"/>
      <c r="F54" s="69" t="s">
        <v>97</v>
      </c>
      <c r="G54" s="104"/>
      <c r="H54" s="80">
        <f>(3.4*13+2.45*18)*1.208*2*1/1000</f>
        <v>0.21333279999999999</v>
      </c>
    </row>
    <row r="55" spans="2:8" ht="24" customHeight="1" x14ac:dyDescent="0.25">
      <c r="B55" s="137"/>
      <c r="C55" s="156"/>
      <c r="D55" s="36" t="s">
        <v>5</v>
      </c>
      <c r="E55" s="41">
        <v>54</v>
      </c>
      <c r="F55" s="154" t="s">
        <v>43</v>
      </c>
      <c r="G55" s="104"/>
      <c r="H55" s="40"/>
    </row>
    <row r="56" spans="2:8" ht="23.25" customHeight="1" x14ac:dyDescent="0.25">
      <c r="B56" s="138"/>
      <c r="C56" s="157"/>
      <c r="D56" s="36" t="s">
        <v>4</v>
      </c>
      <c r="E56" s="39">
        <f>(3.115*E55)*0.617/1000</f>
        <v>0.10378557000000001</v>
      </c>
      <c r="F56" s="132"/>
      <c r="G56" s="111">
        <f>1.922*54/1000</f>
        <v>0.10378799999999999</v>
      </c>
      <c r="H56" s="40"/>
    </row>
    <row r="57" spans="2:8" ht="16.5" customHeight="1" x14ac:dyDescent="0.25">
      <c r="B57" s="75">
        <v>15</v>
      </c>
      <c r="C57" s="74" t="s">
        <v>78</v>
      </c>
      <c r="D57" s="36" t="s">
        <v>39</v>
      </c>
      <c r="E57" s="38">
        <f>E58</f>
        <v>7.2119999999999997</v>
      </c>
      <c r="F57" s="69" t="s">
        <v>68</v>
      </c>
      <c r="G57" s="104"/>
      <c r="H57" s="40"/>
    </row>
    <row r="58" spans="2:8" ht="49.5" customHeight="1" x14ac:dyDescent="0.25">
      <c r="B58" s="75">
        <v>16</v>
      </c>
      <c r="C58" s="72" t="s">
        <v>77</v>
      </c>
      <c r="D58" s="36" t="s">
        <v>39</v>
      </c>
      <c r="E58" s="38">
        <f>12.02*0.6*1</f>
        <v>7.2119999999999997</v>
      </c>
      <c r="F58" s="89" t="s">
        <v>109</v>
      </c>
      <c r="G58" s="107"/>
      <c r="H58" s="40"/>
    </row>
    <row r="59" spans="2:8" ht="36.75" customHeight="1" x14ac:dyDescent="0.25">
      <c r="B59" s="150" t="s">
        <v>129</v>
      </c>
      <c r="C59" s="151"/>
      <c r="D59" s="151"/>
      <c r="E59" s="151"/>
      <c r="F59" s="152"/>
      <c r="G59" s="104"/>
    </row>
    <row r="60" spans="2:8" x14ac:dyDescent="0.25">
      <c r="B60" s="73">
        <v>17</v>
      </c>
      <c r="C60" s="72" t="s">
        <v>0</v>
      </c>
      <c r="D60" s="36" t="s">
        <v>1</v>
      </c>
      <c r="E60" s="38">
        <f>1*(ROUND((((3.415+0.1+0.1)*(4.9+0.1+0.1)*0.1)),2))</f>
        <v>1.84</v>
      </c>
      <c r="F60" s="47" t="s">
        <v>2</v>
      </c>
      <c r="G60" s="105"/>
    </row>
    <row r="61" spans="2:8" ht="15.75" customHeight="1" x14ac:dyDescent="0.25">
      <c r="B61" s="136">
        <v>18</v>
      </c>
      <c r="C61" s="155" t="s">
        <v>38</v>
      </c>
      <c r="D61" s="36" t="s">
        <v>1</v>
      </c>
      <c r="E61" s="38">
        <f>1*(3.415*4.9*0.6)</f>
        <v>10.040100000000001</v>
      </c>
      <c r="F61" s="70" t="s">
        <v>3</v>
      </c>
      <c r="G61" s="106"/>
      <c r="H61" s="59"/>
    </row>
    <row r="62" spans="2:8" ht="18" customHeight="1" x14ac:dyDescent="0.25">
      <c r="B62" s="137"/>
      <c r="C62" s="156"/>
      <c r="D62" s="36" t="s">
        <v>5</v>
      </c>
      <c r="E62" s="83">
        <f>1*9</f>
        <v>9</v>
      </c>
      <c r="F62" s="131" t="s">
        <v>86</v>
      </c>
      <c r="G62" s="111">
        <f>13.471*9/1000</f>
        <v>0.121239</v>
      </c>
      <c r="H62" s="40"/>
    </row>
    <row r="63" spans="2:8" x14ac:dyDescent="0.25">
      <c r="B63" s="137"/>
      <c r="C63" s="156"/>
      <c r="D63" s="141" t="s">
        <v>4</v>
      </c>
      <c r="E63" s="144">
        <f>(ROUND((3.335*2*0.888)+(0.5*17*0.888),3)*9)/1000</f>
        <v>0.121239</v>
      </c>
      <c r="F63" s="154"/>
      <c r="G63" s="104"/>
      <c r="H63" s="40"/>
    </row>
    <row r="64" spans="2:8" x14ac:dyDescent="0.25">
      <c r="B64" s="137"/>
      <c r="C64" s="156"/>
      <c r="D64" s="143"/>
      <c r="E64" s="146"/>
      <c r="F64" s="82" t="s">
        <v>98</v>
      </c>
      <c r="G64" s="104"/>
      <c r="H64" s="81">
        <f>((3.335*2*0.888)+(0.5*17*0.888))*9*1/1000</f>
        <v>0.12123864000000001</v>
      </c>
    </row>
    <row r="65" spans="2:12" x14ac:dyDescent="0.25">
      <c r="B65" s="137"/>
      <c r="C65" s="156"/>
      <c r="D65" s="36" t="s">
        <v>5</v>
      </c>
      <c r="E65" s="83">
        <f>1*2</f>
        <v>2</v>
      </c>
      <c r="F65" s="131" t="s">
        <v>87</v>
      </c>
      <c r="G65" s="111">
        <f>19.66*2/1000</f>
        <v>3.9320000000000001E-2</v>
      </c>
      <c r="H65" s="40"/>
    </row>
    <row r="66" spans="2:12" x14ac:dyDescent="0.25">
      <c r="B66" s="137"/>
      <c r="C66" s="156"/>
      <c r="D66" s="141" t="s">
        <v>4</v>
      </c>
      <c r="E66" s="144">
        <f>(ROUND((4.82*2*0.888)+(0.5*25*0.888),3)*2)/1000</f>
        <v>3.9320000000000001E-2</v>
      </c>
      <c r="F66" s="154"/>
      <c r="G66" s="104"/>
      <c r="H66" s="40"/>
    </row>
    <row r="67" spans="2:12" x14ac:dyDescent="0.25">
      <c r="B67" s="137"/>
      <c r="C67" s="156"/>
      <c r="D67" s="143"/>
      <c r="E67" s="146"/>
      <c r="F67" s="69" t="s">
        <v>99</v>
      </c>
      <c r="G67" s="104"/>
      <c r="H67" s="81">
        <f>((4.82*2*0.888)+(0.5*25*0.888))*2*1/1000</f>
        <v>3.9320639999999997E-2</v>
      </c>
    </row>
    <row r="68" spans="2:12" x14ac:dyDescent="0.25">
      <c r="B68" s="137"/>
      <c r="C68" s="156"/>
      <c r="D68" s="36" t="s">
        <v>4</v>
      </c>
      <c r="E68" s="94">
        <f>(((ROUND(4.82*1.208,3)*38)+((ROUND(3.335*1.208,3)*52))))*1/1000</f>
        <v>0.430782</v>
      </c>
      <c r="F68" s="119" t="s">
        <v>26</v>
      </c>
      <c r="G68" s="104"/>
      <c r="H68" s="81">
        <f>4.82*1.208</f>
        <v>5.8225600000000002</v>
      </c>
      <c r="I68" s="81">
        <f>5.823*38/1000</f>
        <v>0.221274</v>
      </c>
      <c r="J68" s="81">
        <f>3.335*1.208</f>
        <v>4.0286799999999996</v>
      </c>
      <c r="K68" s="81">
        <f>4.029*52/1000</f>
        <v>0.20950799999999997</v>
      </c>
      <c r="L68" s="34">
        <f>0.221+0.21</f>
        <v>0.43099999999999999</v>
      </c>
    </row>
    <row r="69" spans="2:12" x14ac:dyDescent="0.25">
      <c r="B69" s="137"/>
      <c r="C69" s="156"/>
      <c r="D69" s="36" t="s">
        <v>4</v>
      </c>
      <c r="E69" s="94">
        <f>(((ROUND(1.33*0.617,3)*62)+((ROUND(1.53*0.617,3)*4))))*1/1000</f>
        <v>5.4677999999999997E-2</v>
      </c>
      <c r="F69" s="119" t="s">
        <v>42</v>
      </c>
      <c r="G69" s="104"/>
      <c r="H69" s="111">
        <f>1.33*0.617</f>
        <v>0.82061000000000006</v>
      </c>
      <c r="I69" s="111">
        <f>0.821*62/1000</f>
        <v>5.0901999999999996E-2</v>
      </c>
      <c r="J69" s="111">
        <f>1.53*0.617</f>
        <v>0.94401000000000002</v>
      </c>
      <c r="K69" s="111">
        <f>0.944*4/1000</f>
        <v>3.7759999999999998E-3</v>
      </c>
      <c r="L69" s="40">
        <f>I69+K69</f>
        <v>5.4677999999999997E-2</v>
      </c>
    </row>
    <row r="70" spans="2:12" x14ac:dyDescent="0.25">
      <c r="B70" s="137"/>
      <c r="C70" s="156"/>
      <c r="D70" s="36" t="s">
        <v>5</v>
      </c>
      <c r="E70" s="120">
        <v>25</v>
      </c>
      <c r="F70" s="148" t="s">
        <v>43</v>
      </c>
      <c r="G70" s="104"/>
    </row>
    <row r="71" spans="2:12" x14ac:dyDescent="0.25">
      <c r="B71" s="137"/>
      <c r="C71" s="156"/>
      <c r="D71" s="36" t="s">
        <v>4</v>
      </c>
      <c r="E71" s="94">
        <f>(((ROUND(3.115*0.617,3))*25)*1)/1000</f>
        <v>4.8049999999999995E-2</v>
      </c>
      <c r="F71" s="149"/>
      <c r="G71" s="111">
        <f>3.115*0.617</f>
        <v>1.9219550000000001</v>
      </c>
      <c r="H71" s="111">
        <f>1.922*25/1000</f>
        <v>4.8049999999999995E-2</v>
      </c>
    </row>
    <row r="72" spans="2:12" x14ac:dyDescent="0.25">
      <c r="B72" s="137"/>
      <c r="C72" s="156"/>
      <c r="D72" s="36" t="s">
        <v>5</v>
      </c>
      <c r="E72" s="120">
        <v>27</v>
      </c>
      <c r="F72" s="148" t="s">
        <v>116</v>
      </c>
      <c r="G72" s="104"/>
    </row>
    <row r="73" spans="2:12" x14ac:dyDescent="0.25">
      <c r="B73" s="138"/>
      <c r="C73" s="157"/>
      <c r="D73" s="36" t="s">
        <v>4</v>
      </c>
      <c r="E73" s="94">
        <f>(((ROUND(3.14*0.617,3))*27)*1)/1000</f>
        <v>5.2298999999999998E-2</v>
      </c>
      <c r="F73" s="149"/>
      <c r="G73" s="111">
        <f>3.14*0.617</f>
        <v>1.9373800000000001</v>
      </c>
      <c r="H73" s="111">
        <f>1.937*27/1000</f>
        <v>5.2298999999999998E-2</v>
      </c>
    </row>
    <row r="74" spans="2:12" x14ac:dyDescent="0.25">
      <c r="B74" s="75">
        <v>19</v>
      </c>
      <c r="C74" s="74" t="s">
        <v>78</v>
      </c>
      <c r="D74" s="36" t="s">
        <v>39</v>
      </c>
      <c r="E74" s="96">
        <f>E75</f>
        <v>9.0779999999999994</v>
      </c>
      <c r="F74" s="119" t="s">
        <v>68</v>
      </c>
      <c r="G74" s="104"/>
    </row>
    <row r="75" spans="2:12" ht="47.25" x14ac:dyDescent="0.25">
      <c r="B75" s="75">
        <v>20</v>
      </c>
      <c r="C75" s="72" t="s">
        <v>77</v>
      </c>
      <c r="D75" s="36" t="s">
        <v>39</v>
      </c>
      <c r="E75" s="38">
        <f>(3.415+4.9-0.5+3.415-0.5+4.9-0.5)*0.6</f>
        <v>9.0779999999999994</v>
      </c>
      <c r="F75" s="89" t="s">
        <v>109</v>
      </c>
      <c r="G75" s="107"/>
    </row>
    <row r="76" spans="2:12" ht="46.5" customHeight="1" x14ac:dyDescent="0.25">
      <c r="B76" s="153" t="s">
        <v>114</v>
      </c>
      <c r="C76" s="151"/>
      <c r="D76" s="151"/>
      <c r="E76" s="151"/>
      <c r="F76" s="152"/>
      <c r="G76" s="104"/>
      <c r="H76" s="58"/>
      <c r="I76" s="110"/>
      <c r="J76" s="110"/>
    </row>
    <row r="77" spans="2:12" x14ac:dyDescent="0.25">
      <c r="B77" s="73">
        <v>21</v>
      </c>
      <c r="C77" s="37" t="s">
        <v>0</v>
      </c>
      <c r="D77" s="36" t="s">
        <v>1</v>
      </c>
      <c r="E77" s="38">
        <f>22.3</f>
        <v>22.3</v>
      </c>
      <c r="F77" s="47" t="s">
        <v>2</v>
      </c>
      <c r="G77" s="103"/>
      <c r="H77" s="87"/>
      <c r="I77" s="123"/>
      <c r="J77" s="110"/>
    </row>
    <row r="78" spans="2:12" x14ac:dyDescent="0.25">
      <c r="B78" s="163">
        <v>22</v>
      </c>
      <c r="C78" s="164" t="s">
        <v>41</v>
      </c>
      <c r="D78" s="36" t="s">
        <v>1</v>
      </c>
      <c r="E78" s="38">
        <f>(334.96*0.5*0.6)+((334.96-0.9-0.9-0.9)*0.13*0.2)</f>
        <v>109.12675999999999</v>
      </c>
      <c r="F78" s="70" t="s">
        <v>3</v>
      </c>
      <c r="G78" s="103"/>
      <c r="H78" s="87"/>
      <c r="I78" s="123"/>
      <c r="J78" s="110"/>
    </row>
    <row r="79" spans="2:12" ht="16.5" customHeight="1" x14ac:dyDescent="0.25">
      <c r="B79" s="163"/>
      <c r="C79" s="164"/>
      <c r="D79" s="36" t="s">
        <v>44</v>
      </c>
      <c r="E79" s="93">
        <f>334.96*3</f>
        <v>1004.8799999999999</v>
      </c>
      <c r="F79" s="131" t="s">
        <v>122</v>
      </c>
      <c r="G79" s="122">
        <f>3.171+1.578</f>
        <v>4.7489999999999997</v>
      </c>
      <c r="H79" s="88"/>
      <c r="I79" s="123"/>
      <c r="J79" s="110"/>
    </row>
    <row r="80" spans="2:12" x14ac:dyDescent="0.25">
      <c r="B80" s="163"/>
      <c r="C80" s="164"/>
      <c r="D80" s="141" t="s">
        <v>4</v>
      </c>
      <c r="E80" s="158">
        <f>(4.726*E79)/1000</f>
        <v>4.7490628799999994</v>
      </c>
      <c r="F80" s="140"/>
      <c r="G80" s="106"/>
      <c r="H80" s="80"/>
      <c r="I80" s="124"/>
      <c r="J80" s="110"/>
    </row>
    <row r="81" spans="2:14" x14ac:dyDescent="0.25">
      <c r="B81" s="163"/>
      <c r="C81" s="164"/>
      <c r="D81" s="142"/>
      <c r="E81" s="159"/>
      <c r="F81" s="82" t="s">
        <v>102</v>
      </c>
      <c r="G81" s="126">
        <f>1.578*2*1004.88/1000</f>
        <v>3.17140128</v>
      </c>
      <c r="H81" s="127">
        <f>1.578*2</f>
        <v>3.1560000000000001</v>
      </c>
      <c r="I81" s="147">
        <f>H81+H82</f>
        <v>4.726</v>
      </c>
      <c r="J81" s="147">
        <f>I81*1004.88/1000</f>
        <v>4.7490628800000003</v>
      </c>
      <c r="K81" s="40"/>
      <c r="L81" s="40"/>
      <c r="M81" s="117"/>
      <c r="N81" s="115"/>
    </row>
    <row r="82" spans="2:14" x14ac:dyDescent="0.25">
      <c r="B82" s="163"/>
      <c r="C82" s="164"/>
      <c r="D82" s="143"/>
      <c r="E82" s="160"/>
      <c r="F82" s="82" t="s">
        <v>123</v>
      </c>
      <c r="G82" s="126">
        <f>0.314*5*1004.88/1000</f>
        <v>1.5776616000000001</v>
      </c>
      <c r="H82" s="127">
        <f>0.314*5</f>
        <v>1.57</v>
      </c>
      <c r="I82" s="147"/>
      <c r="J82" s="147"/>
      <c r="K82" s="40"/>
      <c r="L82" s="40"/>
      <c r="M82" s="116"/>
      <c r="N82" s="115"/>
    </row>
    <row r="83" spans="2:14" x14ac:dyDescent="0.25">
      <c r="B83" s="163"/>
      <c r="C83" s="164"/>
      <c r="D83" s="36" t="s">
        <v>44</v>
      </c>
      <c r="E83" s="93">
        <f>334.96</f>
        <v>334.96</v>
      </c>
      <c r="F83" s="131" t="s">
        <v>100</v>
      </c>
      <c r="G83" s="111">
        <f>5.346*334.96/1000</f>
        <v>1.79069616</v>
      </c>
      <c r="H83" s="80">
        <f>1.057+0.734</f>
        <v>1.7909999999999999</v>
      </c>
      <c r="I83" s="123"/>
      <c r="J83" s="110"/>
    </row>
    <row r="84" spans="2:14" x14ac:dyDescent="0.25">
      <c r="B84" s="163"/>
      <c r="C84" s="164"/>
      <c r="D84" s="141" t="s">
        <v>4</v>
      </c>
      <c r="E84" s="158">
        <f>(5.346*E83)/1000</f>
        <v>1.79069616</v>
      </c>
      <c r="F84" s="140"/>
      <c r="G84" s="106"/>
      <c r="H84" s="80"/>
      <c r="I84" s="124"/>
      <c r="J84" s="110"/>
    </row>
    <row r="85" spans="2:14" x14ac:dyDescent="0.25">
      <c r="B85" s="163"/>
      <c r="C85" s="164"/>
      <c r="D85" s="142"/>
      <c r="E85" s="159"/>
      <c r="F85" s="82" t="s">
        <v>101</v>
      </c>
      <c r="G85" s="111">
        <f>1.578*2*334.96/1000</f>
        <v>1.0571337599999999</v>
      </c>
      <c r="H85" s="40">
        <f>1.578</f>
        <v>1.5780000000000001</v>
      </c>
      <c r="I85" s="40">
        <f>1.578*2</f>
        <v>3.1560000000000001</v>
      </c>
      <c r="J85" s="129">
        <f>3.156+2.19</f>
        <v>5.3460000000000001</v>
      </c>
      <c r="K85" s="115"/>
      <c r="L85" s="115"/>
      <c r="M85" s="117"/>
      <c r="N85" s="115"/>
    </row>
    <row r="86" spans="2:14" x14ac:dyDescent="0.25">
      <c r="B86" s="163"/>
      <c r="C86" s="164"/>
      <c r="D86" s="143"/>
      <c r="E86" s="160"/>
      <c r="F86" s="82" t="s">
        <v>110</v>
      </c>
      <c r="G86" s="111">
        <f>(0.71*0.617*5*334.96)/1000</f>
        <v>0.73367963599999986</v>
      </c>
      <c r="H86" s="40">
        <f>0.71*0.617</f>
        <v>0.43806999999999996</v>
      </c>
      <c r="I86" s="40">
        <f>0.438*5</f>
        <v>2.19</v>
      </c>
      <c r="J86" s="129"/>
      <c r="K86" s="115"/>
      <c r="L86" s="115"/>
      <c r="M86" s="117"/>
      <c r="N86" s="115"/>
    </row>
    <row r="87" spans="2:14" x14ac:dyDescent="0.25">
      <c r="B87" s="163"/>
      <c r="C87" s="164"/>
      <c r="D87" s="36" t="s">
        <v>44</v>
      </c>
      <c r="E87" s="100">
        <f>325.46</f>
        <v>325.45999999999998</v>
      </c>
      <c r="F87" s="139" t="s">
        <v>117</v>
      </c>
      <c r="G87" s="125">
        <f>1.925*325.46/1000</f>
        <v>0.62651049999999997</v>
      </c>
      <c r="H87" s="80">
        <f>0.575*0.395</f>
        <v>0.22712499999999999</v>
      </c>
      <c r="I87" s="34">
        <f>0.227*5</f>
        <v>1.135</v>
      </c>
      <c r="J87" s="130">
        <f>1.135+0.79</f>
        <v>1.925</v>
      </c>
    </row>
    <row r="88" spans="2:14" x14ac:dyDescent="0.25">
      <c r="B88" s="163"/>
      <c r="C88" s="164"/>
      <c r="D88" s="141" t="s">
        <v>4</v>
      </c>
      <c r="E88" s="161">
        <f>(E87*1.925)/1000</f>
        <v>0.62651049999999997</v>
      </c>
      <c r="F88" s="140"/>
      <c r="G88" s="106"/>
      <c r="H88" s="80">
        <f>0.395</f>
        <v>0.39500000000000002</v>
      </c>
      <c r="I88" s="34">
        <f>0.395*2</f>
        <v>0.79</v>
      </c>
      <c r="J88" s="130"/>
      <c r="K88" s="116"/>
      <c r="L88" s="117"/>
      <c r="M88" s="116"/>
      <c r="N88" s="117"/>
    </row>
    <row r="89" spans="2:14" x14ac:dyDescent="0.25">
      <c r="B89" s="163"/>
      <c r="C89" s="164"/>
      <c r="D89" s="142"/>
      <c r="E89" s="162"/>
      <c r="F89" s="69" t="s">
        <v>118</v>
      </c>
      <c r="G89" s="111">
        <f>(0.575*5*0.395+0.395*2)*325.46/1000</f>
        <v>0.62671391249999997</v>
      </c>
      <c r="H89" s="80"/>
      <c r="I89" s="40"/>
      <c r="K89" s="116"/>
      <c r="L89" s="117"/>
      <c r="M89" s="116"/>
      <c r="N89" s="117"/>
    </row>
    <row r="90" spans="2:14" ht="27" customHeight="1" x14ac:dyDescent="0.25">
      <c r="B90" s="163"/>
      <c r="C90" s="164"/>
      <c r="D90" s="36" t="s">
        <v>4</v>
      </c>
      <c r="E90" s="94">
        <f>3400*0.272/1000</f>
        <v>0.92480000000000007</v>
      </c>
      <c r="F90" s="48" t="s">
        <v>73</v>
      </c>
      <c r="G90" s="111">
        <f>0.617*0.44*3400/1000</f>
        <v>0.92303200000000007</v>
      </c>
      <c r="H90" s="114"/>
      <c r="I90" s="124"/>
      <c r="J90" s="110"/>
    </row>
    <row r="91" spans="2:14" ht="26.25" customHeight="1" x14ac:dyDescent="0.25">
      <c r="B91" s="163"/>
      <c r="C91" s="164"/>
      <c r="D91" s="36" t="s">
        <v>4</v>
      </c>
      <c r="E91" s="94">
        <f>2721*1.578/1000</f>
        <v>4.2937380000000003</v>
      </c>
      <c r="F91" s="48" t="s">
        <v>112</v>
      </c>
      <c r="G91" s="104"/>
      <c r="H91" s="121">
        <v>2721</v>
      </c>
      <c r="I91" s="123"/>
      <c r="J91" s="110"/>
    </row>
    <row r="92" spans="2:14" x14ac:dyDescent="0.25">
      <c r="B92" s="163"/>
      <c r="C92" s="164"/>
      <c r="D92" s="36" t="s">
        <v>5</v>
      </c>
      <c r="E92" s="95">
        <v>6</v>
      </c>
      <c r="F92" s="139" t="s">
        <v>46</v>
      </c>
      <c r="G92" s="106"/>
      <c r="I92" s="110"/>
      <c r="J92" s="110"/>
    </row>
    <row r="93" spans="2:14" x14ac:dyDescent="0.25">
      <c r="B93" s="163"/>
      <c r="C93" s="164"/>
      <c r="D93" s="36" t="s">
        <v>4</v>
      </c>
      <c r="E93" s="94">
        <f>(E92*1.38)/1000</f>
        <v>8.2799999999999992E-3</v>
      </c>
      <c r="F93" s="165"/>
      <c r="G93" s="106"/>
      <c r="H93" s="40"/>
      <c r="I93" s="110"/>
      <c r="J93" s="110"/>
    </row>
    <row r="94" spans="2:14" x14ac:dyDescent="0.25">
      <c r="B94" s="73">
        <v>23</v>
      </c>
      <c r="C94" s="74" t="s">
        <v>78</v>
      </c>
      <c r="D94" s="36" t="s">
        <v>39</v>
      </c>
      <c r="E94" s="96">
        <f>E95</f>
        <v>468.40399999999994</v>
      </c>
      <c r="F94" s="71" t="s">
        <v>68</v>
      </c>
      <c r="G94" s="106"/>
      <c r="H94" s="40"/>
    </row>
    <row r="95" spans="2:14" ht="47.25" x14ac:dyDescent="0.25">
      <c r="B95" s="73">
        <v>24</v>
      </c>
      <c r="C95" s="90" t="s">
        <v>77</v>
      </c>
      <c r="D95" s="36" t="s">
        <v>39</v>
      </c>
      <c r="E95" s="96">
        <f>(334.96*0.6*2)+((334.96-0.9-0.9-0.9)*0.2)</f>
        <v>468.40399999999994</v>
      </c>
      <c r="F95" s="89" t="s">
        <v>109</v>
      </c>
      <c r="G95" s="107"/>
      <c r="H95" s="77"/>
    </row>
    <row r="96" spans="2:14" ht="47.25" customHeight="1" x14ac:dyDescent="0.25">
      <c r="B96" s="153" t="s">
        <v>121</v>
      </c>
      <c r="C96" s="151"/>
      <c r="D96" s="151"/>
      <c r="E96" s="151"/>
      <c r="F96" s="152"/>
      <c r="G96" s="104"/>
    </row>
    <row r="97" spans="2:10" x14ac:dyDescent="0.25">
      <c r="B97" s="73">
        <v>25</v>
      </c>
      <c r="C97" s="37" t="s">
        <v>0</v>
      </c>
      <c r="D97" s="36" t="s">
        <v>1</v>
      </c>
      <c r="E97" s="38">
        <v>4.97</v>
      </c>
      <c r="F97" s="47" t="s">
        <v>2</v>
      </c>
      <c r="G97" s="105"/>
    </row>
    <row r="98" spans="2:10" x14ac:dyDescent="0.25">
      <c r="B98" s="163">
        <v>26</v>
      </c>
      <c r="C98" s="164" t="s">
        <v>41</v>
      </c>
      <c r="D98" s="36" t="s">
        <v>1</v>
      </c>
      <c r="E98" s="38">
        <f>49.3*0.85*0.6</f>
        <v>25.142999999999997</v>
      </c>
      <c r="F98" s="70" t="s">
        <v>3</v>
      </c>
      <c r="G98" s="106"/>
    </row>
    <row r="99" spans="2:10" x14ac:dyDescent="0.25">
      <c r="B99" s="163"/>
      <c r="C99" s="164"/>
      <c r="D99" s="36" t="s">
        <v>44</v>
      </c>
      <c r="E99" s="93">
        <f>49.3*6</f>
        <v>295.79999999999995</v>
      </c>
      <c r="F99" s="139" t="s">
        <v>122</v>
      </c>
      <c r="G99" s="126">
        <f>1.578*2*E99/1000</f>
        <v>0.93354479999999984</v>
      </c>
      <c r="H99" s="127">
        <f>0.934+0.464</f>
        <v>1.3980000000000001</v>
      </c>
      <c r="I99" s="128"/>
      <c r="J99" s="128"/>
    </row>
    <row r="100" spans="2:10" x14ac:dyDescent="0.25">
      <c r="B100" s="163"/>
      <c r="C100" s="164"/>
      <c r="D100" s="141" t="s">
        <v>4</v>
      </c>
      <c r="E100" s="144">
        <f>(E99*4.726)/1000</f>
        <v>1.3979507999999998</v>
      </c>
      <c r="F100" s="140"/>
      <c r="G100" s="126">
        <f>0.314*5*E99/1000</f>
        <v>0.46440599999999993</v>
      </c>
      <c r="H100" s="127"/>
      <c r="I100" s="128"/>
      <c r="J100" s="128"/>
    </row>
    <row r="101" spans="2:10" x14ac:dyDescent="0.25">
      <c r="B101" s="163"/>
      <c r="C101" s="164"/>
      <c r="D101" s="142"/>
      <c r="E101" s="145"/>
      <c r="F101" s="82" t="s">
        <v>103</v>
      </c>
      <c r="G101" s="104"/>
      <c r="H101" s="80"/>
    </row>
    <row r="102" spans="2:10" x14ac:dyDescent="0.25">
      <c r="B102" s="163"/>
      <c r="C102" s="164"/>
      <c r="D102" s="143"/>
      <c r="E102" s="146"/>
      <c r="F102" s="69" t="s">
        <v>126</v>
      </c>
      <c r="G102" s="104"/>
      <c r="H102" s="80"/>
    </row>
    <row r="103" spans="2:10" x14ac:dyDescent="0.25">
      <c r="B103" s="163"/>
      <c r="C103" s="164"/>
      <c r="D103" s="36" t="s">
        <v>4</v>
      </c>
      <c r="E103" s="39">
        <f>0.488*500/1000</f>
        <v>0.24399999999999999</v>
      </c>
      <c r="F103" s="69" t="s">
        <v>74</v>
      </c>
      <c r="G103" s="111">
        <f>0.79*0.617</f>
        <v>0.48743000000000003</v>
      </c>
      <c r="H103" s="80">
        <f>0.79*0.617</f>
        <v>0.48743000000000003</v>
      </c>
      <c r="I103" s="34">
        <f>0.488*500/1000</f>
        <v>0.24399999999999999</v>
      </c>
    </row>
    <row r="104" spans="2:10" x14ac:dyDescent="0.25">
      <c r="B104" s="163"/>
      <c r="C104" s="164"/>
      <c r="D104" s="36" t="s">
        <v>4</v>
      </c>
      <c r="E104" s="39">
        <f>504*1.578/1000</f>
        <v>0.79531200000000002</v>
      </c>
      <c r="F104" s="48" t="s">
        <v>108</v>
      </c>
      <c r="G104" s="104"/>
      <c r="H104" s="121">
        <v>504</v>
      </c>
    </row>
    <row r="105" spans="2:10" x14ac:dyDescent="0.25">
      <c r="B105" s="163"/>
      <c r="C105" s="164"/>
      <c r="D105" s="36" t="s">
        <v>5</v>
      </c>
      <c r="E105" s="36">
        <v>42</v>
      </c>
      <c r="F105" s="131" t="s">
        <v>45</v>
      </c>
      <c r="G105" s="104"/>
    </row>
    <row r="106" spans="2:10" x14ac:dyDescent="0.25">
      <c r="B106" s="163"/>
      <c r="C106" s="164"/>
      <c r="D106" s="36" t="s">
        <v>4</v>
      </c>
      <c r="E106" s="39">
        <f>(E105*2.1)/1000</f>
        <v>8.8200000000000001E-2</v>
      </c>
      <c r="F106" s="132"/>
      <c r="G106" s="104"/>
    </row>
    <row r="107" spans="2:10" x14ac:dyDescent="0.25">
      <c r="B107" s="73">
        <v>27</v>
      </c>
      <c r="C107" s="74" t="s">
        <v>78</v>
      </c>
      <c r="D107" s="36" t="s">
        <v>39</v>
      </c>
      <c r="E107" s="38">
        <f>E108</f>
        <v>59.16</v>
      </c>
      <c r="F107" s="69" t="s">
        <v>68</v>
      </c>
      <c r="G107" s="104"/>
    </row>
    <row r="108" spans="2:10" ht="47.25" x14ac:dyDescent="0.25">
      <c r="B108" s="73">
        <v>28</v>
      </c>
      <c r="C108" s="90" t="s">
        <v>77</v>
      </c>
      <c r="D108" s="36" t="s">
        <v>39</v>
      </c>
      <c r="E108" s="38">
        <f>49.3*0.6*2</f>
        <v>59.16</v>
      </c>
      <c r="F108" s="89" t="s">
        <v>109</v>
      </c>
      <c r="G108" s="107"/>
    </row>
    <row r="109" spans="2:10" ht="47.25" customHeight="1" x14ac:dyDescent="0.25">
      <c r="B109" s="153" t="s">
        <v>120</v>
      </c>
      <c r="C109" s="151"/>
      <c r="D109" s="151"/>
      <c r="E109" s="151"/>
      <c r="F109" s="152"/>
      <c r="G109" s="104"/>
    </row>
    <row r="110" spans="2:10" x14ac:dyDescent="0.25">
      <c r="B110" s="73">
        <v>29</v>
      </c>
      <c r="C110" s="37" t="s">
        <v>0</v>
      </c>
      <c r="D110" s="36" t="s">
        <v>1</v>
      </c>
      <c r="E110" s="38">
        <v>0.66</v>
      </c>
      <c r="F110" s="47" t="s">
        <v>2</v>
      </c>
      <c r="G110" s="105"/>
    </row>
    <row r="111" spans="2:10" x14ac:dyDescent="0.25">
      <c r="B111" s="136">
        <v>30</v>
      </c>
      <c r="C111" s="133" t="s">
        <v>41</v>
      </c>
      <c r="D111" s="36" t="s">
        <v>1</v>
      </c>
      <c r="E111" s="38">
        <f>8.7*0.6*0.6</f>
        <v>3.1319999999999997</v>
      </c>
      <c r="F111" s="70" t="s">
        <v>3</v>
      </c>
      <c r="G111" s="106"/>
    </row>
    <row r="112" spans="2:10" x14ac:dyDescent="0.25">
      <c r="B112" s="137"/>
      <c r="C112" s="134"/>
      <c r="D112" s="36" t="s">
        <v>44</v>
      </c>
      <c r="E112" s="93">
        <f>8.7*5</f>
        <v>43.5</v>
      </c>
      <c r="F112" s="139" t="s">
        <v>122</v>
      </c>
      <c r="G112" s="106"/>
      <c r="H112" s="34">
        <f>0.137+0.069</f>
        <v>0.20600000000000002</v>
      </c>
    </row>
    <row r="113" spans="2:9" x14ac:dyDescent="0.25">
      <c r="B113" s="137"/>
      <c r="C113" s="134"/>
      <c r="D113" s="141" t="s">
        <v>4</v>
      </c>
      <c r="E113" s="144">
        <f>(4.726*E112)/1000</f>
        <v>0.20558099999999999</v>
      </c>
      <c r="F113" s="140"/>
      <c r="G113" s="125"/>
      <c r="H113" s="40"/>
    </row>
    <row r="114" spans="2:9" x14ac:dyDescent="0.25">
      <c r="B114" s="137"/>
      <c r="C114" s="134"/>
      <c r="D114" s="142"/>
      <c r="E114" s="145"/>
      <c r="F114" s="82" t="s">
        <v>104</v>
      </c>
      <c r="G114" s="126"/>
      <c r="H114" s="80"/>
    </row>
    <row r="115" spans="2:9" x14ac:dyDescent="0.25">
      <c r="B115" s="137"/>
      <c r="C115" s="134"/>
      <c r="D115" s="143"/>
      <c r="E115" s="146"/>
      <c r="F115" s="69" t="s">
        <v>127</v>
      </c>
      <c r="G115" s="126"/>
      <c r="H115" s="80"/>
    </row>
    <row r="116" spans="2:9" x14ac:dyDescent="0.25">
      <c r="B116" s="137"/>
      <c r="C116" s="134"/>
      <c r="D116" s="36" t="s">
        <v>4</v>
      </c>
      <c r="E116" s="39">
        <f>0.333*88/1000</f>
        <v>2.9304000000000004E-2</v>
      </c>
      <c r="F116" s="69" t="s">
        <v>75</v>
      </c>
      <c r="G116" s="104"/>
      <c r="H116" s="80">
        <f>0.54*0.617</f>
        <v>0.33318000000000003</v>
      </c>
      <c r="I116" s="40">
        <f>0.333*88/1000</f>
        <v>2.9304000000000004E-2</v>
      </c>
    </row>
    <row r="117" spans="2:9" x14ac:dyDescent="0.25">
      <c r="B117" s="137"/>
      <c r="C117" s="134"/>
      <c r="D117" s="36" t="s">
        <v>4</v>
      </c>
      <c r="E117" s="39">
        <f>1.578*88/1000</f>
        <v>0.13886400000000002</v>
      </c>
      <c r="F117" s="48" t="s">
        <v>107</v>
      </c>
      <c r="G117" s="104"/>
      <c r="H117" s="121">
        <v>84</v>
      </c>
    </row>
    <row r="118" spans="2:9" x14ac:dyDescent="0.25">
      <c r="B118" s="137"/>
      <c r="C118" s="134"/>
      <c r="D118" s="36" t="s">
        <v>5</v>
      </c>
      <c r="E118" s="36">
        <v>4</v>
      </c>
      <c r="F118" s="131" t="s">
        <v>45</v>
      </c>
      <c r="G118" s="104"/>
      <c r="H118" s="58"/>
    </row>
    <row r="119" spans="2:9" x14ac:dyDescent="0.25">
      <c r="B119" s="138"/>
      <c r="C119" s="135"/>
      <c r="D119" s="36" t="s">
        <v>4</v>
      </c>
      <c r="E119" s="39">
        <f>(E118*2.1)/1000</f>
        <v>8.4000000000000012E-3</v>
      </c>
      <c r="F119" s="132"/>
      <c r="G119" s="104"/>
      <c r="H119" s="58"/>
    </row>
    <row r="120" spans="2:9" x14ac:dyDescent="0.25">
      <c r="B120" s="73">
        <v>31</v>
      </c>
      <c r="C120" s="74" t="s">
        <v>78</v>
      </c>
      <c r="D120" s="36" t="s">
        <v>39</v>
      </c>
      <c r="E120" s="38">
        <f>E121</f>
        <v>10.44</v>
      </c>
      <c r="F120" s="48" t="s">
        <v>68</v>
      </c>
      <c r="G120" s="104"/>
    </row>
    <row r="121" spans="2:9" ht="47.25" x14ac:dyDescent="0.25">
      <c r="B121" s="73">
        <v>32</v>
      </c>
      <c r="C121" s="90" t="s">
        <v>77</v>
      </c>
      <c r="D121" s="36" t="s">
        <v>39</v>
      </c>
      <c r="E121" s="38">
        <f>8.7*0.6*2</f>
        <v>10.44</v>
      </c>
      <c r="F121" s="89" t="s">
        <v>109</v>
      </c>
      <c r="G121" s="107"/>
    </row>
    <row r="122" spans="2:9" ht="48" customHeight="1" x14ac:dyDescent="0.25">
      <c r="B122" s="153" t="s">
        <v>119</v>
      </c>
      <c r="C122" s="151"/>
      <c r="D122" s="151"/>
      <c r="E122" s="151"/>
      <c r="F122" s="152"/>
      <c r="G122" s="104"/>
    </row>
    <row r="123" spans="2:9" x14ac:dyDescent="0.25">
      <c r="B123" s="73">
        <v>33</v>
      </c>
      <c r="C123" s="37" t="s">
        <v>0</v>
      </c>
      <c r="D123" s="36" t="s">
        <v>1</v>
      </c>
      <c r="E123" s="38">
        <v>0.97</v>
      </c>
      <c r="F123" s="47" t="s">
        <v>2</v>
      </c>
      <c r="G123" s="105"/>
      <c r="H123" s="34">
        <f>0.189+0.094</f>
        <v>0.28300000000000003</v>
      </c>
    </row>
    <row r="124" spans="2:9" x14ac:dyDescent="0.25">
      <c r="B124" s="136">
        <v>34</v>
      </c>
      <c r="C124" s="133" t="s">
        <v>41</v>
      </c>
      <c r="D124" s="36" t="s">
        <v>1</v>
      </c>
      <c r="E124" s="36">
        <f>15*0.5*0.6</f>
        <v>4.5</v>
      </c>
      <c r="F124" s="70" t="s">
        <v>3</v>
      </c>
      <c r="G124" s="106"/>
    </row>
    <row r="125" spans="2:9" x14ac:dyDescent="0.25">
      <c r="B125" s="137"/>
      <c r="C125" s="134"/>
      <c r="D125" s="36" t="s">
        <v>44</v>
      </c>
      <c r="E125" s="85">
        <f>15*4</f>
        <v>60</v>
      </c>
      <c r="F125" s="139" t="s">
        <v>122</v>
      </c>
      <c r="G125" s="106"/>
    </row>
    <row r="126" spans="2:9" x14ac:dyDescent="0.25">
      <c r="B126" s="137"/>
      <c r="C126" s="134"/>
      <c r="D126" s="141" t="s">
        <v>4</v>
      </c>
      <c r="E126" s="144">
        <f>(E125*4.726)/1000</f>
        <v>0.28355999999999998</v>
      </c>
      <c r="F126" s="140"/>
      <c r="G126" s="125"/>
    </row>
    <row r="127" spans="2:9" x14ac:dyDescent="0.25">
      <c r="B127" s="137"/>
      <c r="C127" s="134"/>
      <c r="D127" s="142"/>
      <c r="E127" s="145"/>
      <c r="F127" s="82" t="s">
        <v>105</v>
      </c>
      <c r="G127" s="126">
        <f>0.189+0.095</f>
        <v>0.28400000000000003</v>
      </c>
      <c r="H127" s="80"/>
    </row>
    <row r="128" spans="2:9" x14ac:dyDescent="0.25">
      <c r="B128" s="137"/>
      <c r="C128" s="134"/>
      <c r="D128" s="143"/>
      <c r="E128" s="146"/>
      <c r="F128" s="69" t="s">
        <v>128</v>
      </c>
      <c r="G128" s="126"/>
      <c r="H128" s="80"/>
    </row>
    <row r="129" spans="2:12" x14ac:dyDescent="0.25">
      <c r="B129" s="137"/>
      <c r="C129" s="134"/>
      <c r="D129" s="36" t="s">
        <v>4</v>
      </c>
      <c r="E129" s="39">
        <f>0.272*156/1000</f>
        <v>4.2432000000000004E-2</v>
      </c>
      <c r="F129" s="69" t="s">
        <v>76</v>
      </c>
      <c r="G129" s="104"/>
      <c r="H129" s="80">
        <f>0.44*0.617</f>
        <v>0.27148</v>
      </c>
      <c r="I129" s="40">
        <f>0.271*156/1000</f>
        <v>4.2276000000000001E-2</v>
      </c>
      <c r="L129" s="40"/>
    </row>
    <row r="130" spans="2:12" x14ac:dyDescent="0.25">
      <c r="B130" s="137"/>
      <c r="C130" s="134"/>
      <c r="D130" s="36" t="s">
        <v>4</v>
      </c>
      <c r="E130" s="39">
        <f>187*1.578/1000</f>
        <v>0.29508600000000001</v>
      </c>
      <c r="F130" s="48" t="s">
        <v>113</v>
      </c>
      <c r="G130" s="104"/>
      <c r="H130" s="121">
        <v>187</v>
      </c>
    </row>
    <row r="131" spans="2:12" x14ac:dyDescent="0.25">
      <c r="B131" s="137"/>
      <c r="C131" s="134"/>
      <c r="D131" s="36" t="s">
        <v>5</v>
      </c>
      <c r="E131" s="36">
        <v>2</v>
      </c>
      <c r="F131" s="131" t="s">
        <v>45</v>
      </c>
      <c r="G131" s="104"/>
      <c r="H131" s="58"/>
    </row>
    <row r="132" spans="2:12" x14ac:dyDescent="0.25">
      <c r="B132" s="138"/>
      <c r="C132" s="135"/>
      <c r="D132" s="36" t="s">
        <v>4</v>
      </c>
      <c r="E132" s="39">
        <f>(E131*2.1)/1000</f>
        <v>4.2000000000000006E-3</v>
      </c>
      <c r="F132" s="132"/>
      <c r="G132" s="104"/>
      <c r="H132" s="58"/>
    </row>
    <row r="133" spans="2:12" x14ac:dyDescent="0.25">
      <c r="B133" s="73">
        <v>35</v>
      </c>
      <c r="C133" s="74" t="s">
        <v>78</v>
      </c>
      <c r="D133" s="78" t="s">
        <v>39</v>
      </c>
      <c r="E133" s="79">
        <f>E134</f>
        <v>18</v>
      </c>
      <c r="F133" s="68" t="s">
        <v>68</v>
      </c>
      <c r="G133" s="104"/>
    </row>
    <row r="134" spans="2:12" ht="48" thickBot="1" x14ac:dyDescent="0.3">
      <c r="B134" s="49">
        <v>36</v>
      </c>
      <c r="C134" s="91" t="s">
        <v>77</v>
      </c>
      <c r="D134" s="50" t="s">
        <v>39</v>
      </c>
      <c r="E134" s="51">
        <f>15*0.6*2</f>
        <v>18</v>
      </c>
      <c r="F134" s="92" t="s">
        <v>109</v>
      </c>
      <c r="G134" s="107"/>
    </row>
    <row r="135" spans="2:12" ht="16.5" thickTop="1" x14ac:dyDescent="0.25">
      <c r="F135" s="57"/>
      <c r="G135" s="108"/>
    </row>
    <row r="136" spans="2:12" x14ac:dyDescent="0.25">
      <c r="F136" s="57"/>
      <c r="G136" s="108"/>
    </row>
    <row r="137" spans="2:12" x14ac:dyDescent="0.25">
      <c r="F137" s="57"/>
      <c r="G137" s="108"/>
    </row>
    <row r="138" spans="2:12" x14ac:dyDescent="0.25">
      <c r="F138" s="58"/>
      <c r="G138" s="109"/>
      <c r="I138" s="77">
        <f>E77+E97+E110+E123</f>
        <v>28.9</v>
      </c>
      <c r="K138" s="34">
        <v>28.9</v>
      </c>
    </row>
    <row r="139" spans="2:12" x14ac:dyDescent="0.25">
      <c r="I139" s="77">
        <f>E78+E98+E124+E111</f>
        <v>141.90176</v>
      </c>
      <c r="K139" s="34">
        <v>141.9</v>
      </c>
    </row>
    <row r="140" spans="2:12" x14ac:dyDescent="0.25">
      <c r="I140" s="77">
        <f>E125+E112+E99+E79</f>
        <v>1404.1799999999998</v>
      </c>
      <c r="K140" s="34">
        <v>1404.18</v>
      </c>
    </row>
    <row r="141" spans="2:12" x14ac:dyDescent="0.25">
      <c r="I141" s="40">
        <f>E80+E100+E113+E126</f>
        <v>6.636154679999998</v>
      </c>
      <c r="K141" s="40">
        <f>K140*4.726/1000</f>
        <v>6.6361546800000006</v>
      </c>
    </row>
    <row r="142" spans="2:12" x14ac:dyDescent="0.25">
      <c r="I142" s="77">
        <f>E83</f>
        <v>334.96</v>
      </c>
      <c r="K142" s="34">
        <f>334.96</f>
        <v>334.96</v>
      </c>
    </row>
    <row r="143" spans="2:12" x14ac:dyDescent="0.25">
      <c r="I143" s="40">
        <f>E84</f>
        <v>1.79069616</v>
      </c>
      <c r="K143" s="40">
        <f>5.346*K142/1000</f>
        <v>1.79069616</v>
      </c>
    </row>
    <row r="144" spans="2:12" x14ac:dyDescent="0.25">
      <c r="I144" s="77">
        <f>E87</f>
        <v>325.45999999999998</v>
      </c>
      <c r="K144" s="34">
        <v>325.45999999999998</v>
      </c>
    </row>
    <row r="145" spans="9:12" x14ac:dyDescent="0.25">
      <c r="I145" s="40">
        <f>E88</f>
        <v>0.62651049999999997</v>
      </c>
      <c r="K145" s="40">
        <f>1.925*K144/1000</f>
        <v>0.62651049999999997</v>
      </c>
    </row>
    <row r="146" spans="9:12" x14ac:dyDescent="0.25">
      <c r="I146" s="40">
        <f>E90+E129</f>
        <v>0.96723200000000009</v>
      </c>
      <c r="J146" s="34">
        <f>156+3400</f>
        <v>3556</v>
      </c>
      <c r="K146" s="40">
        <f>0.272*3556/1000</f>
        <v>0.96723200000000009</v>
      </c>
      <c r="L146" s="34">
        <v>3556</v>
      </c>
    </row>
    <row r="147" spans="9:12" x14ac:dyDescent="0.25">
      <c r="I147" s="40">
        <f>E91+E104+E117+E130</f>
        <v>5.5230000000000006</v>
      </c>
      <c r="J147" s="34">
        <f>H130+H117+H104+H91</f>
        <v>3496</v>
      </c>
      <c r="K147" s="40">
        <f>1.578*3496/1000</f>
        <v>5.5166880000000003</v>
      </c>
    </row>
    <row r="148" spans="9:12" x14ac:dyDescent="0.25">
      <c r="I148" s="34">
        <f>E92</f>
        <v>6</v>
      </c>
      <c r="K148" s="34">
        <v>6</v>
      </c>
    </row>
    <row r="149" spans="9:12" x14ac:dyDescent="0.25">
      <c r="I149" s="34">
        <f>E118+E131+E105</f>
        <v>48</v>
      </c>
      <c r="K149" s="34">
        <v>48</v>
      </c>
    </row>
  </sheetData>
  <mergeCells count="97">
    <mergeCell ref="B61:B73"/>
    <mergeCell ref="E50:E51"/>
    <mergeCell ref="D53:D54"/>
    <mergeCell ref="E53:E54"/>
    <mergeCell ref="D63:D64"/>
    <mergeCell ref="E63:E64"/>
    <mergeCell ref="C61:C73"/>
    <mergeCell ref="B2:F2"/>
    <mergeCell ref="B3:F3"/>
    <mergeCell ref="B4:F4"/>
    <mergeCell ref="B7:F7"/>
    <mergeCell ref="F10:F11"/>
    <mergeCell ref="E11:E12"/>
    <mergeCell ref="D11:D12"/>
    <mergeCell ref="C9:C15"/>
    <mergeCell ref="B9:B15"/>
    <mergeCell ref="E14:E15"/>
    <mergeCell ref="F13:F14"/>
    <mergeCell ref="D22:D23"/>
    <mergeCell ref="F24:F25"/>
    <mergeCell ref="F32:F33"/>
    <mergeCell ref="F38:F39"/>
    <mergeCell ref="F35:F36"/>
    <mergeCell ref="E25:E26"/>
    <mergeCell ref="E33:E34"/>
    <mergeCell ref="D33:D34"/>
    <mergeCell ref="D36:D37"/>
    <mergeCell ref="E36:E37"/>
    <mergeCell ref="E22:E23"/>
    <mergeCell ref="F21:F22"/>
    <mergeCell ref="B29:F29"/>
    <mergeCell ref="D25:D26"/>
    <mergeCell ref="C20:C26"/>
    <mergeCell ref="D88:D89"/>
    <mergeCell ref="E88:E89"/>
    <mergeCell ref="B96:F96"/>
    <mergeCell ref="B109:F109"/>
    <mergeCell ref="B122:F122"/>
    <mergeCell ref="B78:B93"/>
    <mergeCell ref="C78:C93"/>
    <mergeCell ref="F79:F80"/>
    <mergeCell ref="F83:F84"/>
    <mergeCell ref="F87:F88"/>
    <mergeCell ref="F92:F93"/>
    <mergeCell ref="B98:B106"/>
    <mergeCell ref="C98:C106"/>
    <mergeCell ref="F99:F100"/>
    <mergeCell ref="F105:F106"/>
    <mergeCell ref="E84:E86"/>
    <mergeCell ref="D84:D86"/>
    <mergeCell ref="D39:D40"/>
    <mergeCell ref="E39:E40"/>
    <mergeCell ref="D66:D67"/>
    <mergeCell ref="E66:E67"/>
    <mergeCell ref="E80:E82"/>
    <mergeCell ref="D80:D82"/>
    <mergeCell ref="B43:F43"/>
    <mergeCell ref="B59:F59"/>
    <mergeCell ref="F55:F56"/>
    <mergeCell ref="B45:B56"/>
    <mergeCell ref="F49:F50"/>
    <mergeCell ref="F65:F66"/>
    <mergeCell ref="C31:C40"/>
    <mergeCell ref="B31:B40"/>
    <mergeCell ref="F46:F47"/>
    <mergeCell ref="I81:I82"/>
    <mergeCell ref="J81:J82"/>
    <mergeCell ref="K12:K13"/>
    <mergeCell ref="L12:L13"/>
    <mergeCell ref="F70:F71"/>
    <mergeCell ref="F72:F73"/>
    <mergeCell ref="B18:F18"/>
    <mergeCell ref="D14:D15"/>
    <mergeCell ref="B20:B26"/>
    <mergeCell ref="B76:F76"/>
    <mergeCell ref="F52:F53"/>
    <mergeCell ref="C45:C56"/>
    <mergeCell ref="F62:F63"/>
    <mergeCell ref="D47:D48"/>
    <mergeCell ref="E47:E48"/>
    <mergeCell ref="D50:D51"/>
    <mergeCell ref="J85:J86"/>
    <mergeCell ref="J87:J88"/>
    <mergeCell ref="F131:F132"/>
    <mergeCell ref="C124:C132"/>
    <mergeCell ref="B124:B132"/>
    <mergeCell ref="F125:F126"/>
    <mergeCell ref="D100:D102"/>
    <mergeCell ref="E100:E102"/>
    <mergeCell ref="D113:D115"/>
    <mergeCell ref="E113:E115"/>
    <mergeCell ref="D126:D128"/>
    <mergeCell ref="E126:E128"/>
    <mergeCell ref="F112:F113"/>
    <mergeCell ref="F118:F119"/>
    <mergeCell ref="C111:C119"/>
    <mergeCell ref="B111:B119"/>
  </mergeCells>
  <pageMargins left="0.7" right="0.7" top="0.75" bottom="0.75" header="0.3" footer="0.3"/>
  <pageSetup paperSize="9" orientation="portrait" r:id="rId1"/>
  <ignoredErrors>
    <ignoredError sqref="E35:E36 E50 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7"/>
  <sheetViews>
    <sheetView topLeftCell="B76" zoomScale="115" zoomScaleNormal="115" workbookViewId="0">
      <selection activeCell="I91" sqref="I91"/>
    </sheetView>
  </sheetViews>
  <sheetFormatPr defaultRowHeight="15" x14ac:dyDescent="0.25"/>
  <cols>
    <col min="1" max="1" width="4.140625" customWidth="1"/>
    <col min="2" max="2" width="20.7109375" customWidth="1"/>
    <col min="3" max="5" width="9.140625" style="1"/>
    <col min="6" max="7" width="9.140625" style="27"/>
    <col min="12" max="12" width="17.5703125" customWidth="1"/>
  </cols>
  <sheetData>
    <row r="2" spans="2:19" x14ac:dyDescent="0.25">
      <c r="B2" t="s">
        <v>30</v>
      </c>
      <c r="C2" s="1">
        <f>5.75</f>
        <v>5.75</v>
      </c>
      <c r="D2" s="1">
        <f>0.5+0.1+0.1</f>
        <v>0.7</v>
      </c>
      <c r="E2" s="1">
        <v>0.1</v>
      </c>
      <c r="F2" s="27">
        <f>G2*D2*E2</f>
        <v>0.38850000000000001</v>
      </c>
      <c r="G2" s="27">
        <f>C2-0.2</f>
        <v>5.55</v>
      </c>
      <c r="I2">
        <f>C2-0.08</f>
        <v>5.67</v>
      </c>
      <c r="J2">
        <f>(C2/0.2)</f>
        <v>28.75</v>
      </c>
      <c r="K2" s="55">
        <v>29</v>
      </c>
      <c r="L2" t="s">
        <v>33</v>
      </c>
      <c r="M2" s="1">
        <v>2.15</v>
      </c>
      <c r="N2" s="1">
        <v>0.5</v>
      </c>
      <c r="O2" s="1">
        <v>0.6</v>
      </c>
      <c r="P2" s="27">
        <f t="shared" ref="P2:P7" si="0">M2*N2*O2</f>
        <v>0.64499999999999991</v>
      </c>
      <c r="R2">
        <f>(M2/0.2)</f>
        <v>10.749999999999998</v>
      </c>
      <c r="S2" s="55">
        <v>11</v>
      </c>
    </row>
    <row r="3" spans="2:19" x14ac:dyDescent="0.25">
      <c r="C3" s="1">
        <v>2.85</v>
      </c>
      <c r="D3" s="1">
        <f t="shared" ref="D3:D66" si="1">0.5+0.1+0.1</f>
        <v>0.7</v>
      </c>
      <c r="E3" s="1">
        <v>0.1</v>
      </c>
      <c r="F3" s="27">
        <f t="shared" ref="F3:F66" si="2">G3*D3*E3</f>
        <v>0.1855</v>
      </c>
      <c r="G3" s="27">
        <f t="shared" ref="G3:G66" si="3">C3-0.2</f>
        <v>2.65</v>
      </c>
      <c r="I3">
        <f t="shared" ref="I3:I66" si="4">C3-0.08</f>
        <v>2.77</v>
      </c>
      <c r="J3">
        <f t="shared" ref="J3:J66" si="5">(C3/0.2)</f>
        <v>14.25</v>
      </c>
      <c r="K3" s="55">
        <v>15</v>
      </c>
      <c r="M3" s="1">
        <v>2.15</v>
      </c>
      <c r="N3" s="1">
        <v>0.5</v>
      </c>
      <c r="O3" s="1">
        <v>0.6</v>
      </c>
      <c r="P3" s="27">
        <f t="shared" si="0"/>
        <v>0.64499999999999991</v>
      </c>
      <c r="R3">
        <f t="shared" ref="R3:R7" si="6">(M3/0.2)</f>
        <v>10.749999999999998</v>
      </c>
      <c r="S3" s="55">
        <v>11</v>
      </c>
    </row>
    <row r="4" spans="2:19" x14ac:dyDescent="0.25">
      <c r="C4" s="1">
        <v>4.4749999999999996</v>
      </c>
      <c r="D4" s="1">
        <f t="shared" si="1"/>
        <v>0.7</v>
      </c>
      <c r="E4" s="1">
        <v>0.1</v>
      </c>
      <c r="F4" s="27">
        <f t="shared" si="2"/>
        <v>0.29924999999999996</v>
      </c>
      <c r="G4" s="27">
        <f t="shared" si="3"/>
        <v>4.2749999999999995</v>
      </c>
      <c r="I4">
        <f t="shared" si="4"/>
        <v>4.3949999999999996</v>
      </c>
      <c r="J4">
        <f t="shared" si="5"/>
        <v>22.374999999999996</v>
      </c>
      <c r="K4" s="55">
        <v>23</v>
      </c>
      <c r="M4" s="1">
        <v>2.15</v>
      </c>
      <c r="N4" s="1">
        <v>0.5</v>
      </c>
      <c r="O4" s="1">
        <v>0.6</v>
      </c>
      <c r="P4" s="27">
        <f t="shared" si="0"/>
        <v>0.64499999999999991</v>
      </c>
      <c r="R4">
        <f t="shared" si="6"/>
        <v>10.749999999999998</v>
      </c>
      <c r="S4" s="55">
        <v>11</v>
      </c>
    </row>
    <row r="5" spans="2:19" x14ac:dyDescent="0.25">
      <c r="C5" s="1">
        <v>3.7749999999999999</v>
      </c>
      <c r="D5" s="1">
        <f t="shared" si="1"/>
        <v>0.7</v>
      </c>
      <c r="E5" s="1">
        <v>0.1</v>
      </c>
      <c r="F5" s="27">
        <f t="shared" si="2"/>
        <v>0.25024999999999997</v>
      </c>
      <c r="G5" s="27">
        <f t="shared" si="3"/>
        <v>3.5749999999999997</v>
      </c>
      <c r="I5">
        <f t="shared" si="4"/>
        <v>3.6949999999999998</v>
      </c>
      <c r="J5">
        <f t="shared" si="5"/>
        <v>18.875</v>
      </c>
      <c r="K5" s="55">
        <v>19</v>
      </c>
      <c r="M5" s="1">
        <v>2.85</v>
      </c>
      <c r="N5" s="1">
        <v>0.5</v>
      </c>
      <c r="O5" s="1">
        <v>0.6</v>
      </c>
      <c r="P5" s="27">
        <f t="shared" si="0"/>
        <v>0.85499999999999998</v>
      </c>
      <c r="R5">
        <f t="shared" si="6"/>
        <v>14.25</v>
      </c>
      <c r="S5" s="55">
        <v>15</v>
      </c>
    </row>
    <row r="6" spans="2:19" x14ac:dyDescent="0.25">
      <c r="C6" s="1">
        <v>4.3499999999999996</v>
      </c>
      <c r="D6" s="1">
        <f t="shared" si="1"/>
        <v>0.7</v>
      </c>
      <c r="E6" s="1">
        <v>0.1</v>
      </c>
      <c r="F6" s="27">
        <f t="shared" si="2"/>
        <v>0.29049999999999992</v>
      </c>
      <c r="G6" s="27">
        <f t="shared" si="3"/>
        <v>4.1499999999999995</v>
      </c>
      <c r="I6">
        <f t="shared" si="4"/>
        <v>4.2699999999999996</v>
      </c>
      <c r="J6">
        <f t="shared" si="5"/>
        <v>21.749999999999996</v>
      </c>
      <c r="K6" s="55">
        <v>22</v>
      </c>
      <c r="M6" s="1">
        <v>2.85</v>
      </c>
      <c r="N6" s="1">
        <v>0.5</v>
      </c>
      <c r="O6" s="1">
        <v>0.6</v>
      </c>
      <c r="P6" s="27">
        <f t="shared" si="0"/>
        <v>0.85499999999999998</v>
      </c>
      <c r="R6">
        <f t="shared" si="6"/>
        <v>14.25</v>
      </c>
      <c r="S6" s="55">
        <v>15</v>
      </c>
    </row>
    <row r="7" spans="2:19" x14ac:dyDescent="0.25">
      <c r="C7" s="1">
        <v>4.3499999999999996</v>
      </c>
      <c r="D7" s="1">
        <f t="shared" si="1"/>
        <v>0.7</v>
      </c>
      <c r="E7" s="1">
        <v>0.1</v>
      </c>
      <c r="F7" s="27">
        <f t="shared" si="2"/>
        <v>0.29049999999999992</v>
      </c>
      <c r="G7" s="27">
        <f t="shared" si="3"/>
        <v>4.1499999999999995</v>
      </c>
      <c r="I7">
        <f t="shared" si="4"/>
        <v>4.2699999999999996</v>
      </c>
      <c r="J7">
        <f t="shared" si="5"/>
        <v>21.749999999999996</v>
      </c>
      <c r="K7" s="55">
        <v>22</v>
      </c>
      <c r="M7" s="1">
        <v>2.85</v>
      </c>
      <c r="N7" s="1">
        <v>0.5</v>
      </c>
      <c r="O7" s="1">
        <v>0.6</v>
      </c>
      <c r="P7" s="27">
        <f t="shared" si="0"/>
        <v>0.85499999999999998</v>
      </c>
      <c r="R7">
        <f t="shared" si="6"/>
        <v>14.25</v>
      </c>
      <c r="S7" s="55">
        <v>15</v>
      </c>
    </row>
    <row r="8" spans="2:19" x14ac:dyDescent="0.25">
      <c r="C8" s="1">
        <v>4.3499999999999996</v>
      </c>
      <c r="D8" s="1">
        <f t="shared" si="1"/>
        <v>0.7</v>
      </c>
      <c r="E8" s="1">
        <v>0.1</v>
      </c>
      <c r="F8" s="27">
        <f t="shared" si="2"/>
        <v>0.29049999999999992</v>
      </c>
      <c r="G8" s="27">
        <f t="shared" si="3"/>
        <v>4.1499999999999995</v>
      </c>
      <c r="I8">
        <f t="shared" si="4"/>
        <v>4.2699999999999996</v>
      </c>
      <c r="J8">
        <f t="shared" si="5"/>
        <v>21.749999999999996</v>
      </c>
      <c r="K8" s="55">
        <v>22</v>
      </c>
      <c r="M8" s="43">
        <f>SUM(M2:M7)</f>
        <v>14.999999999999998</v>
      </c>
      <c r="N8" s="1"/>
      <c r="O8" s="1"/>
      <c r="P8" s="28">
        <f>SUM(P2:P7)</f>
        <v>4.5</v>
      </c>
      <c r="R8">
        <f>SUM(R2:R7)*2</f>
        <v>150</v>
      </c>
      <c r="S8">
        <f>SUM(S2:S7)*2</f>
        <v>156</v>
      </c>
    </row>
    <row r="9" spans="2:19" x14ac:dyDescent="0.25">
      <c r="C9" s="1">
        <v>4.3499999999999996</v>
      </c>
      <c r="D9" s="1">
        <f t="shared" si="1"/>
        <v>0.7</v>
      </c>
      <c r="E9" s="1">
        <v>0.1</v>
      </c>
      <c r="F9" s="27">
        <f t="shared" si="2"/>
        <v>0.29049999999999992</v>
      </c>
      <c r="G9" s="27">
        <f t="shared" si="3"/>
        <v>4.1499999999999995</v>
      </c>
      <c r="I9">
        <f t="shared" si="4"/>
        <v>4.2699999999999996</v>
      </c>
      <c r="J9">
        <f t="shared" si="5"/>
        <v>21.749999999999996</v>
      </c>
      <c r="K9" s="55">
        <v>22</v>
      </c>
    </row>
    <row r="10" spans="2:19" x14ac:dyDescent="0.25">
      <c r="C10" s="1">
        <v>4.3499999999999996</v>
      </c>
      <c r="D10" s="1">
        <f t="shared" si="1"/>
        <v>0.7</v>
      </c>
      <c r="E10" s="1">
        <v>0.1</v>
      </c>
      <c r="F10" s="27">
        <f t="shared" si="2"/>
        <v>0.29049999999999992</v>
      </c>
      <c r="G10" s="27">
        <f t="shared" si="3"/>
        <v>4.1499999999999995</v>
      </c>
      <c r="I10">
        <f t="shared" si="4"/>
        <v>4.2699999999999996</v>
      </c>
      <c r="J10">
        <f t="shared" si="5"/>
        <v>21.749999999999996</v>
      </c>
      <c r="K10" s="55">
        <v>22</v>
      </c>
    </row>
    <row r="11" spans="2:19" x14ac:dyDescent="0.25">
      <c r="C11" s="1">
        <v>4.3499999999999996</v>
      </c>
      <c r="D11" s="1">
        <f t="shared" si="1"/>
        <v>0.7</v>
      </c>
      <c r="E11" s="1">
        <v>0.1</v>
      </c>
      <c r="F11" s="27">
        <f t="shared" si="2"/>
        <v>0.29049999999999992</v>
      </c>
      <c r="G11" s="27">
        <f t="shared" si="3"/>
        <v>4.1499999999999995</v>
      </c>
      <c r="I11">
        <f t="shared" si="4"/>
        <v>4.2699999999999996</v>
      </c>
      <c r="J11">
        <f t="shared" si="5"/>
        <v>21.749999999999996</v>
      </c>
      <c r="K11" s="55">
        <v>22</v>
      </c>
    </row>
    <row r="12" spans="2:19" x14ac:dyDescent="0.25">
      <c r="C12" s="1">
        <v>4.3499999999999996</v>
      </c>
      <c r="D12" s="1">
        <f t="shared" si="1"/>
        <v>0.7</v>
      </c>
      <c r="E12" s="1">
        <v>0.1</v>
      </c>
      <c r="F12" s="27">
        <f t="shared" si="2"/>
        <v>0.29049999999999992</v>
      </c>
      <c r="G12" s="27">
        <f t="shared" si="3"/>
        <v>4.1499999999999995</v>
      </c>
      <c r="I12">
        <f t="shared" si="4"/>
        <v>4.2699999999999996</v>
      </c>
      <c r="J12">
        <f t="shared" si="5"/>
        <v>21.749999999999996</v>
      </c>
      <c r="K12" s="55">
        <v>22</v>
      </c>
      <c r="L12" t="s">
        <v>31</v>
      </c>
      <c r="M12" s="1">
        <f>5.175-0.825</f>
        <v>4.3499999999999996</v>
      </c>
      <c r="N12" s="1">
        <f>0.18+0.67</f>
        <v>0.85000000000000009</v>
      </c>
      <c r="O12" s="1">
        <v>0.6</v>
      </c>
      <c r="P12" s="27">
        <f>M12*N12*O12</f>
        <v>2.2185000000000001</v>
      </c>
      <c r="R12">
        <f>M12/0.2</f>
        <v>21.749999999999996</v>
      </c>
      <c r="S12" s="55">
        <v>22</v>
      </c>
    </row>
    <row r="13" spans="2:19" x14ac:dyDescent="0.25">
      <c r="C13" s="1">
        <v>4.3499999999999996</v>
      </c>
      <c r="D13" s="1">
        <f t="shared" si="1"/>
        <v>0.7</v>
      </c>
      <c r="E13" s="1">
        <v>0.1</v>
      </c>
      <c r="F13" s="27">
        <f t="shared" si="2"/>
        <v>0.29049999999999992</v>
      </c>
      <c r="G13" s="27">
        <f t="shared" si="3"/>
        <v>4.1499999999999995</v>
      </c>
      <c r="I13">
        <f t="shared" si="4"/>
        <v>4.2699999999999996</v>
      </c>
      <c r="J13">
        <f t="shared" si="5"/>
        <v>21.749999999999996</v>
      </c>
      <c r="K13" s="55">
        <v>22</v>
      </c>
      <c r="M13" s="1">
        <f>5.175-0.825</f>
        <v>4.3499999999999996</v>
      </c>
      <c r="N13" s="1">
        <f>0.18+0.67</f>
        <v>0.85000000000000009</v>
      </c>
      <c r="O13" s="1">
        <v>0.6</v>
      </c>
      <c r="P13" s="27">
        <f t="shared" ref="P13:P21" si="7">M13*N13*O13</f>
        <v>2.2185000000000001</v>
      </c>
      <c r="R13">
        <f t="shared" ref="R13:R21" si="8">M13/0.2</f>
        <v>21.749999999999996</v>
      </c>
      <c r="S13" s="55">
        <v>22</v>
      </c>
    </row>
    <row r="14" spans="2:19" x14ac:dyDescent="0.25">
      <c r="C14" s="1">
        <v>4.3499999999999996</v>
      </c>
      <c r="D14" s="1">
        <f t="shared" si="1"/>
        <v>0.7</v>
      </c>
      <c r="E14" s="1">
        <v>0.1</v>
      </c>
      <c r="F14" s="27">
        <f t="shared" si="2"/>
        <v>0.29049999999999992</v>
      </c>
      <c r="G14" s="27">
        <f t="shared" si="3"/>
        <v>4.1499999999999995</v>
      </c>
      <c r="I14">
        <f t="shared" si="4"/>
        <v>4.2699999999999996</v>
      </c>
      <c r="J14">
        <f t="shared" si="5"/>
        <v>21.749999999999996</v>
      </c>
      <c r="K14" s="55">
        <v>22</v>
      </c>
      <c r="M14" s="1">
        <v>4.3499999999999996</v>
      </c>
      <c r="N14" s="1">
        <f>0.18+0.67</f>
        <v>0.85000000000000009</v>
      </c>
      <c r="O14" s="1">
        <v>0.6</v>
      </c>
      <c r="P14" s="27">
        <f t="shared" si="7"/>
        <v>2.2185000000000001</v>
      </c>
      <c r="R14">
        <f t="shared" si="8"/>
        <v>21.749999999999996</v>
      </c>
      <c r="S14" s="55">
        <v>22</v>
      </c>
    </row>
    <row r="15" spans="2:19" x14ac:dyDescent="0.25">
      <c r="C15" s="1">
        <v>4.3499999999999996</v>
      </c>
      <c r="D15" s="1">
        <f t="shared" si="1"/>
        <v>0.7</v>
      </c>
      <c r="E15" s="1">
        <v>0.1</v>
      </c>
      <c r="F15" s="27">
        <f t="shared" si="2"/>
        <v>0.29049999999999992</v>
      </c>
      <c r="G15" s="27">
        <f t="shared" si="3"/>
        <v>4.1499999999999995</v>
      </c>
      <c r="I15">
        <f t="shared" si="4"/>
        <v>4.2699999999999996</v>
      </c>
      <c r="J15">
        <f t="shared" si="5"/>
        <v>21.749999999999996</v>
      </c>
      <c r="K15" s="55">
        <v>22</v>
      </c>
      <c r="M15" s="1">
        <v>4.3499999999999996</v>
      </c>
      <c r="N15" s="1">
        <f>0.18+0.67</f>
        <v>0.85000000000000009</v>
      </c>
      <c r="O15" s="1">
        <v>0.6</v>
      </c>
      <c r="P15" s="27">
        <f t="shared" si="7"/>
        <v>2.2185000000000001</v>
      </c>
      <c r="R15">
        <f t="shared" si="8"/>
        <v>21.749999999999996</v>
      </c>
      <c r="S15" s="55">
        <v>22</v>
      </c>
    </row>
    <row r="16" spans="2:19" x14ac:dyDescent="0.25">
      <c r="C16" s="1">
        <v>4.3499999999999996</v>
      </c>
      <c r="D16" s="1">
        <f t="shared" si="1"/>
        <v>0.7</v>
      </c>
      <c r="E16" s="1">
        <v>0.1</v>
      </c>
      <c r="F16" s="27">
        <f t="shared" si="2"/>
        <v>0.29049999999999992</v>
      </c>
      <c r="G16" s="27">
        <f t="shared" si="3"/>
        <v>4.1499999999999995</v>
      </c>
      <c r="I16">
        <f t="shared" si="4"/>
        <v>4.2699999999999996</v>
      </c>
      <c r="J16">
        <f t="shared" si="5"/>
        <v>21.749999999999996</v>
      </c>
      <c r="K16" s="55">
        <v>22</v>
      </c>
      <c r="M16" s="1">
        <f>6-0.825-0.825</f>
        <v>4.3499999999999996</v>
      </c>
      <c r="N16" s="1">
        <f t="shared" ref="N16:N21" si="9">0.18+0.67</f>
        <v>0.85000000000000009</v>
      </c>
      <c r="O16" s="1">
        <v>0.6</v>
      </c>
      <c r="P16" s="27">
        <f t="shared" si="7"/>
        <v>2.2185000000000001</v>
      </c>
      <c r="R16">
        <f t="shared" si="8"/>
        <v>21.749999999999996</v>
      </c>
      <c r="S16" s="55">
        <v>22</v>
      </c>
    </row>
    <row r="17" spans="3:19" x14ac:dyDescent="0.25">
      <c r="C17" s="1">
        <v>4.3499999999999996</v>
      </c>
      <c r="D17" s="1">
        <f t="shared" si="1"/>
        <v>0.7</v>
      </c>
      <c r="E17" s="1">
        <v>0.1</v>
      </c>
      <c r="F17" s="27">
        <f t="shared" si="2"/>
        <v>0.29049999999999992</v>
      </c>
      <c r="G17" s="27">
        <f t="shared" si="3"/>
        <v>4.1499999999999995</v>
      </c>
      <c r="I17">
        <f t="shared" si="4"/>
        <v>4.2699999999999996</v>
      </c>
      <c r="J17">
        <f t="shared" si="5"/>
        <v>21.749999999999996</v>
      </c>
      <c r="K17" s="55">
        <v>22</v>
      </c>
      <c r="M17" s="1">
        <f>6-0.825-0.825</f>
        <v>4.3499999999999996</v>
      </c>
      <c r="N17" s="1">
        <f t="shared" si="9"/>
        <v>0.85000000000000009</v>
      </c>
      <c r="O17" s="1">
        <v>0.6</v>
      </c>
      <c r="P17" s="27">
        <f t="shared" si="7"/>
        <v>2.2185000000000001</v>
      </c>
      <c r="R17">
        <f t="shared" si="8"/>
        <v>21.749999999999996</v>
      </c>
      <c r="S17" s="55">
        <v>22</v>
      </c>
    </row>
    <row r="18" spans="3:19" x14ac:dyDescent="0.25">
      <c r="C18" s="1">
        <v>4.3499999999999996</v>
      </c>
      <c r="D18" s="1">
        <f t="shared" si="1"/>
        <v>0.7</v>
      </c>
      <c r="E18" s="1">
        <v>0.1</v>
      </c>
      <c r="F18" s="27">
        <f t="shared" si="2"/>
        <v>0.29049999999999992</v>
      </c>
      <c r="G18" s="27">
        <f t="shared" si="3"/>
        <v>4.1499999999999995</v>
      </c>
      <c r="I18">
        <f t="shared" si="4"/>
        <v>4.2699999999999996</v>
      </c>
      <c r="J18">
        <f t="shared" si="5"/>
        <v>21.749999999999996</v>
      </c>
      <c r="K18" s="55">
        <v>22</v>
      </c>
      <c r="M18" s="1">
        <v>5.75</v>
      </c>
      <c r="N18" s="1">
        <f t="shared" si="9"/>
        <v>0.85000000000000009</v>
      </c>
      <c r="O18" s="1">
        <v>0.6</v>
      </c>
      <c r="P18" s="27">
        <f t="shared" si="7"/>
        <v>2.9325000000000001</v>
      </c>
      <c r="R18">
        <f t="shared" si="8"/>
        <v>28.75</v>
      </c>
      <c r="S18" s="55">
        <v>29</v>
      </c>
    </row>
    <row r="19" spans="3:19" x14ac:dyDescent="0.25">
      <c r="C19" s="1">
        <v>2.85</v>
      </c>
      <c r="D19" s="1">
        <f t="shared" si="1"/>
        <v>0.7</v>
      </c>
      <c r="E19" s="1">
        <v>0.1</v>
      </c>
      <c r="F19" s="27">
        <f t="shared" si="2"/>
        <v>0.1855</v>
      </c>
      <c r="G19" s="27">
        <f t="shared" si="3"/>
        <v>2.65</v>
      </c>
      <c r="I19">
        <f t="shared" si="4"/>
        <v>2.77</v>
      </c>
      <c r="J19">
        <f t="shared" si="5"/>
        <v>14.25</v>
      </c>
      <c r="K19" s="55">
        <v>15</v>
      </c>
      <c r="M19" s="1">
        <v>5.75</v>
      </c>
      <c r="N19" s="1">
        <f t="shared" si="9"/>
        <v>0.85000000000000009</v>
      </c>
      <c r="O19" s="1">
        <v>0.6</v>
      </c>
      <c r="P19" s="27">
        <f t="shared" si="7"/>
        <v>2.9325000000000001</v>
      </c>
      <c r="R19">
        <f t="shared" si="8"/>
        <v>28.75</v>
      </c>
      <c r="S19" s="55">
        <v>29</v>
      </c>
    </row>
    <row r="20" spans="3:19" x14ac:dyDescent="0.25">
      <c r="C20" s="1">
        <v>2.15</v>
      </c>
      <c r="D20" s="1">
        <f t="shared" si="1"/>
        <v>0.7</v>
      </c>
      <c r="E20" s="1">
        <v>0.1</v>
      </c>
      <c r="F20" s="27">
        <f t="shared" si="2"/>
        <v>0.13650000000000001</v>
      </c>
      <c r="G20" s="27">
        <f t="shared" si="3"/>
        <v>1.95</v>
      </c>
      <c r="I20">
        <f t="shared" si="4"/>
        <v>2.0699999999999998</v>
      </c>
      <c r="J20">
        <f t="shared" si="5"/>
        <v>10.749999999999998</v>
      </c>
      <c r="K20" s="55">
        <v>11</v>
      </c>
      <c r="M20" s="1">
        <v>5.85</v>
      </c>
      <c r="N20" s="1">
        <f t="shared" si="9"/>
        <v>0.85000000000000009</v>
      </c>
      <c r="O20" s="1">
        <v>0.6</v>
      </c>
      <c r="P20" s="27">
        <f t="shared" si="7"/>
        <v>2.9834999999999998</v>
      </c>
      <c r="R20">
        <f t="shared" si="8"/>
        <v>29.249999999999996</v>
      </c>
      <c r="S20" s="55">
        <v>30</v>
      </c>
    </row>
    <row r="21" spans="3:19" x14ac:dyDescent="0.25">
      <c r="C21" s="1">
        <v>4.3499999999999996</v>
      </c>
      <c r="D21" s="1">
        <f t="shared" si="1"/>
        <v>0.7</v>
      </c>
      <c r="E21" s="1">
        <v>0.1</v>
      </c>
      <c r="F21" s="27">
        <f t="shared" si="2"/>
        <v>0.29049999999999992</v>
      </c>
      <c r="G21" s="27">
        <f t="shared" si="3"/>
        <v>4.1499999999999995</v>
      </c>
      <c r="I21">
        <f t="shared" si="4"/>
        <v>4.2699999999999996</v>
      </c>
      <c r="J21">
        <f t="shared" si="5"/>
        <v>21.749999999999996</v>
      </c>
      <c r="K21" s="55">
        <v>22</v>
      </c>
      <c r="M21" s="1">
        <v>5.85</v>
      </c>
      <c r="N21" s="1">
        <f t="shared" si="9"/>
        <v>0.85000000000000009</v>
      </c>
      <c r="O21" s="1">
        <v>0.6</v>
      </c>
      <c r="P21" s="27">
        <f t="shared" si="7"/>
        <v>2.9834999999999998</v>
      </c>
      <c r="R21">
        <f t="shared" si="8"/>
        <v>29.249999999999996</v>
      </c>
      <c r="S21" s="55">
        <v>30</v>
      </c>
    </row>
    <row r="22" spans="3:19" x14ac:dyDescent="0.25">
      <c r="C22" s="1">
        <v>4.3499999999999996</v>
      </c>
      <c r="D22" s="1">
        <f t="shared" si="1"/>
        <v>0.7</v>
      </c>
      <c r="E22" s="1">
        <v>0.1</v>
      </c>
      <c r="F22" s="27">
        <f t="shared" si="2"/>
        <v>0.29049999999999992</v>
      </c>
      <c r="G22" s="27">
        <f t="shared" si="3"/>
        <v>4.1499999999999995</v>
      </c>
      <c r="I22">
        <f t="shared" si="4"/>
        <v>4.2699999999999996</v>
      </c>
      <c r="J22">
        <f t="shared" si="5"/>
        <v>21.749999999999996</v>
      </c>
      <c r="K22" s="55">
        <v>22</v>
      </c>
      <c r="M22" s="43">
        <f>SUM(M12:M21)</f>
        <v>49.300000000000004</v>
      </c>
      <c r="N22" s="1"/>
      <c r="O22" s="1"/>
      <c r="P22" s="28">
        <f>SUM(P12:P21)</f>
        <v>25.143000000000001</v>
      </c>
      <c r="S22">
        <f>SUM(S12:S21)*2</f>
        <v>500</v>
      </c>
    </row>
    <row r="23" spans="3:19" x14ac:dyDescent="0.25">
      <c r="C23" s="1">
        <v>4.3499999999999996</v>
      </c>
      <c r="D23" s="1">
        <f t="shared" si="1"/>
        <v>0.7</v>
      </c>
      <c r="E23" s="1">
        <v>0.1</v>
      </c>
      <c r="F23" s="27">
        <f t="shared" si="2"/>
        <v>0.29049999999999992</v>
      </c>
      <c r="G23" s="27">
        <f t="shared" si="3"/>
        <v>4.1499999999999995</v>
      </c>
      <c r="I23">
        <f t="shared" si="4"/>
        <v>4.2699999999999996</v>
      </c>
      <c r="J23">
        <f t="shared" si="5"/>
        <v>21.749999999999996</v>
      </c>
      <c r="K23" s="55">
        <v>22</v>
      </c>
    </row>
    <row r="24" spans="3:19" x14ac:dyDescent="0.25">
      <c r="C24" s="1">
        <v>4.3499999999999996</v>
      </c>
      <c r="D24" s="1">
        <f t="shared" si="1"/>
        <v>0.7</v>
      </c>
      <c r="E24" s="1">
        <v>0.1</v>
      </c>
      <c r="F24" s="27">
        <f t="shared" si="2"/>
        <v>0.29049999999999992</v>
      </c>
      <c r="G24" s="27">
        <f t="shared" si="3"/>
        <v>4.1499999999999995</v>
      </c>
      <c r="I24">
        <f t="shared" si="4"/>
        <v>4.2699999999999996</v>
      </c>
      <c r="J24">
        <f t="shared" si="5"/>
        <v>21.749999999999996</v>
      </c>
      <c r="K24" s="55">
        <v>22</v>
      </c>
    </row>
    <row r="25" spans="3:19" x14ac:dyDescent="0.25">
      <c r="C25" s="1">
        <v>4.3499999999999996</v>
      </c>
      <c r="D25" s="1">
        <f t="shared" si="1"/>
        <v>0.7</v>
      </c>
      <c r="E25" s="1">
        <v>0.1</v>
      </c>
      <c r="F25" s="27">
        <f t="shared" si="2"/>
        <v>0.29049999999999992</v>
      </c>
      <c r="G25" s="27">
        <f t="shared" si="3"/>
        <v>4.1499999999999995</v>
      </c>
      <c r="I25">
        <f t="shared" si="4"/>
        <v>4.2699999999999996</v>
      </c>
      <c r="J25">
        <f t="shared" si="5"/>
        <v>21.749999999999996</v>
      </c>
      <c r="K25" s="55">
        <v>22</v>
      </c>
    </row>
    <row r="26" spans="3:19" x14ac:dyDescent="0.25">
      <c r="C26" s="1">
        <v>2.15</v>
      </c>
      <c r="D26" s="1">
        <f t="shared" si="1"/>
        <v>0.7</v>
      </c>
      <c r="E26" s="1">
        <v>0.1</v>
      </c>
      <c r="F26" s="27">
        <f t="shared" si="2"/>
        <v>0.13650000000000001</v>
      </c>
      <c r="G26" s="27">
        <f t="shared" si="3"/>
        <v>1.95</v>
      </c>
      <c r="I26">
        <f t="shared" si="4"/>
        <v>2.0699999999999998</v>
      </c>
      <c r="J26">
        <f t="shared" si="5"/>
        <v>10.749999999999998</v>
      </c>
      <c r="K26" s="55">
        <v>11</v>
      </c>
    </row>
    <row r="27" spans="3:19" x14ac:dyDescent="0.25">
      <c r="C27" s="1">
        <v>2.85</v>
      </c>
      <c r="D27" s="1">
        <f t="shared" si="1"/>
        <v>0.7</v>
      </c>
      <c r="E27" s="1">
        <v>0.1</v>
      </c>
      <c r="F27" s="27">
        <f t="shared" si="2"/>
        <v>0.1855</v>
      </c>
      <c r="G27" s="27">
        <f t="shared" si="3"/>
        <v>2.65</v>
      </c>
      <c r="I27">
        <f t="shared" si="4"/>
        <v>2.77</v>
      </c>
      <c r="J27">
        <f t="shared" si="5"/>
        <v>14.25</v>
      </c>
      <c r="K27" s="55">
        <v>15</v>
      </c>
    </row>
    <row r="28" spans="3:19" x14ac:dyDescent="0.25">
      <c r="C28" s="1">
        <v>5.75</v>
      </c>
      <c r="D28" s="1">
        <f t="shared" si="1"/>
        <v>0.7</v>
      </c>
      <c r="E28" s="1">
        <v>0.1</v>
      </c>
      <c r="F28" s="27">
        <f t="shared" si="2"/>
        <v>0.38850000000000001</v>
      </c>
      <c r="G28" s="27">
        <f t="shared" si="3"/>
        <v>5.55</v>
      </c>
      <c r="I28">
        <f t="shared" si="4"/>
        <v>5.67</v>
      </c>
      <c r="J28">
        <f t="shared" si="5"/>
        <v>28.75</v>
      </c>
      <c r="K28" s="55">
        <v>29</v>
      </c>
    </row>
    <row r="29" spans="3:19" x14ac:dyDescent="0.25">
      <c r="C29" s="1">
        <v>4.3499999999999996</v>
      </c>
      <c r="D29" s="1">
        <f t="shared" si="1"/>
        <v>0.7</v>
      </c>
      <c r="E29" s="1">
        <v>0.1</v>
      </c>
      <c r="F29" s="27">
        <f t="shared" si="2"/>
        <v>0.29049999999999992</v>
      </c>
      <c r="G29" s="27">
        <f t="shared" si="3"/>
        <v>4.1499999999999995</v>
      </c>
      <c r="I29">
        <f t="shared" si="4"/>
        <v>4.2699999999999996</v>
      </c>
      <c r="J29">
        <f t="shared" si="5"/>
        <v>21.749999999999996</v>
      </c>
      <c r="K29" s="55">
        <v>22</v>
      </c>
    </row>
    <row r="30" spans="3:19" x14ac:dyDescent="0.25">
      <c r="C30" s="1">
        <v>4.3499999999999996</v>
      </c>
      <c r="D30" s="1">
        <f t="shared" si="1"/>
        <v>0.7</v>
      </c>
      <c r="E30" s="1">
        <v>0.1</v>
      </c>
      <c r="F30" s="27">
        <f t="shared" si="2"/>
        <v>0.29049999999999992</v>
      </c>
      <c r="G30" s="27">
        <f t="shared" si="3"/>
        <v>4.1499999999999995</v>
      </c>
      <c r="I30">
        <f t="shared" si="4"/>
        <v>4.2699999999999996</v>
      </c>
      <c r="J30">
        <f t="shared" si="5"/>
        <v>21.749999999999996</v>
      </c>
      <c r="K30" s="55">
        <v>22</v>
      </c>
    </row>
    <row r="31" spans="3:19" x14ac:dyDescent="0.25">
      <c r="C31" s="1">
        <v>4.3499999999999996</v>
      </c>
      <c r="D31" s="1">
        <f t="shared" si="1"/>
        <v>0.7</v>
      </c>
      <c r="E31" s="1">
        <v>0.1</v>
      </c>
      <c r="F31" s="27">
        <f t="shared" si="2"/>
        <v>0.29049999999999992</v>
      </c>
      <c r="G31" s="27">
        <f t="shared" si="3"/>
        <v>4.1499999999999995</v>
      </c>
      <c r="I31">
        <f t="shared" si="4"/>
        <v>4.2699999999999996</v>
      </c>
      <c r="J31">
        <f t="shared" si="5"/>
        <v>21.749999999999996</v>
      </c>
      <c r="K31" s="55">
        <v>22</v>
      </c>
    </row>
    <row r="32" spans="3:19" x14ac:dyDescent="0.25">
      <c r="C32" s="1">
        <v>2.85</v>
      </c>
      <c r="D32" s="1">
        <f t="shared" si="1"/>
        <v>0.7</v>
      </c>
      <c r="E32" s="1">
        <v>0.1</v>
      </c>
      <c r="F32" s="27">
        <f t="shared" si="2"/>
        <v>0.1855</v>
      </c>
      <c r="G32" s="27">
        <f t="shared" si="3"/>
        <v>2.65</v>
      </c>
      <c r="I32">
        <f t="shared" si="4"/>
        <v>2.77</v>
      </c>
      <c r="J32">
        <f t="shared" si="5"/>
        <v>14.25</v>
      </c>
      <c r="K32" s="55">
        <v>15</v>
      </c>
    </row>
    <row r="33" spans="3:11" x14ac:dyDescent="0.25">
      <c r="C33" s="1">
        <v>5.9749999999999996</v>
      </c>
      <c r="D33" s="1">
        <f t="shared" si="1"/>
        <v>0.7</v>
      </c>
      <c r="E33" s="1">
        <v>0.1</v>
      </c>
      <c r="F33" s="27">
        <f t="shared" si="2"/>
        <v>0.40425</v>
      </c>
      <c r="G33" s="27">
        <f t="shared" si="3"/>
        <v>5.7749999999999995</v>
      </c>
      <c r="I33">
        <f t="shared" si="4"/>
        <v>5.8949999999999996</v>
      </c>
      <c r="J33">
        <f t="shared" si="5"/>
        <v>29.874999999999996</v>
      </c>
      <c r="K33" s="55">
        <v>30</v>
      </c>
    </row>
    <row r="34" spans="3:11" x14ac:dyDescent="0.25">
      <c r="C34" s="1">
        <v>3.7749999999999999</v>
      </c>
      <c r="D34" s="1">
        <f t="shared" si="1"/>
        <v>0.7</v>
      </c>
      <c r="E34" s="1">
        <v>0.1</v>
      </c>
      <c r="F34" s="27">
        <f t="shared" si="2"/>
        <v>0.25024999999999997</v>
      </c>
      <c r="G34" s="27">
        <f t="shared" si="3"/>
        <v>3.5749999999999997</v>
      </c>
      <c r="I34">
        <f t="shared" si="4"/>
        <v>3.6949999999999998</v>
      </c>
      <c r="J34">
        <f t="shared" si="5"/>
        <v>18.875</v>
      </c>
      <c r="K34" s="55">
        <v>19</v>
      </c>
    </row>
    <row r="35" spans="3:11" x14ac:dyDescent="0.25">
      <c r="C35" s="1">
        <v>4.3499999999999996</v>
      </c>
      <c r="D35" s="1">
        <f t="shared" si="1"/>
        <v>0.7</v>
      </c>
      <c r="E35" s="1">
        <v>0.1</v>
      </c>
      <c r="F35" s="27">
        <f t="shared" si="2"/>
        <v>0.29049999999999992</v>
      </c>
      <c r="G35" s="27">
        <f t="shared" si="3"/>
        <v>4.1499999999999995</v>
      </c>
      <c r="I35">
        <f t="shared" si="4"/>
        <v>4.2699999999999996</v>
      </c>
      <c r="J35">
        <f t="shared" si="5"/>
        <v>21.749999999999996</v>
      </c>
      <c r="K35" s="55">
        <v>22</v>
      </c>
    </row>
    <row r="36" spans="3:11" x14ac:dyDescent="0.25">
      <c r="C36" s="1">
        <v>4.3499999999999996</v>
      </c>
      <c r="D36" s="1">
        <f t="shared" si="1"/>
        <v>0.7</v>
      </c>
      <c r="E36" s="1">
        <v>0.1</v>
      </c>
      <c r="F36" s="27">
        <f t="shared" si="2"/>
        <v>0.29049999999999992</v>
      </c>
      <c r="G36" s="27">
        <f t="shared" si="3"/>
        <v>4.1499999999999995</v>
      </c>
      <c r="I36">
        <f t="shared" si="4"/>
        <v>4.2699999999999996</v>
      </c>
      <c r="J36">
        <f t="shared" si="5"/>
        <v>21.749999999999996</v>
      </c>
      <c r="K36" s="55">
        <v>22</v>
      </c>
    </row>
    <row r="37" spans="3:11" x14ac:dyDescent="0.25">
      <c r="C37" s="1">
        <v>4.3499999999999996</v>
      </c>
      <c r="D37" s="1">
        <f t="shared" si="1"/>
        <v>0.7</v>
      </c>
      <c r="E37" s="1">
        <v>0.1</v>
      </c>
      <c r="F37" s="27">
        <f t="shared" si="2"/>
        <v>0.29049999999999992</v>
      </c>
      <c r="G37" s="27">
        <f t="shared" si="3"/>
        <v>4.1499999999999995</v>
      </c>
      <c r="I37">
        <f t="shared" si="4"/>
        <v>4.2699999999999996</v>
      </c>
      <c r="J37">
        <f t="shared" si="5"/>
        <v>21.749999999999996</v>
      </c>
      <c r="K37" s="55">
        <v>22</v>
      </c>
    </row>
    <row r="38" spans="3:11" x14ac:dyDescent="0.25">
      <c r="C38" s="1">
        <v>4.3499999999999996</v>
      </c>
      <c r="D38" s="1">
        <f t="shared" si="1"/>
        <v>0.7</v>
      </c>
      <c r="E38" s="1">
        <v>0.1</v>
      </c>
      <c r="F38" s="27">
        <f t="shared" si="2"/>
        <v>0.29049999999999992</v>
      </c>
      <c r="G38" s="27">
        <f t="shared" si="3"/>
        <v>4.1499999999999995</v>
      </c>
      <c r="I38">
        <f t="shared" si="4"/>
        <v>4.2699999999999996</v>
      </c>
      <c r="J38">
        <f t="shared" si="5"/>
        <v>21.749999999999996</v>
      </c>
      <c r="K38" s="55">
        <v>22</v>
      </c>
    </row>
    <row r="39" spans="3:11" x14ac:dyDescent="0.25">
      <c r="C39" s="1">
        <v>4.3499999999999996</v>
      </c>
      <c r="D39" s="1">
        <f t="shared" si="1"/>
        <v>0.7</v>
      </c>
      <c r="E39" s="1">
        <v>0.1</v>
      </c>
      <c r="F39" s="27">
        <f t="shared" si="2"/>
        <v>0.29049999999999992</v>
      </c>
      <c r="G39" s="27">
        <f t="shared" si="3"/>
        <v>4.1499999999999995</v>
      </c>
      <c r="I39">
        <f t="shared" si="4"/>
        <v>4.2699999999999996</v>
      </c>
      <c r="J39">
        <f t="shared" si="5"/>
        <v>21.749999999999996</v>
      </c>
      <c r="K39" s="55">
        <v>22</v>
      </c>
    </row>
    <row r="40" spans="3:11" x14ac:dyDescent="0.25">
      <c r="C40" s="1">
        <v>4.3499999999999996</v>
      </c>
      <c r="D40" s="1">
        <f t="shared" si="1"/>
        <v>0.7</v>
      </c>
      <c r="E40" s="1">
        <v>0.1</v>
      </c>
      <c r="F40" s="27">
        <f t="shared" si="2"/>
        <v>0.29049999999999992</v>
      </c>
      <c r="G40" s="27">
        <f t="shared" si="3"/>
        <v>4.1499999999999995</v>
      </c>
      <c r="I40">
        <f t="shared" si="4"/>
        <v>4.2699999999999996</v>
      </c>
      <c r="J40">
        <f t="shared" si="5"/>
        <v>21.749999999999996</v>
      </c>
      <c r="K40" s="55">
        <v>22</v>
      </c>
    </row>
    <row r="41" spans="3:11" x14ac:dyDescent="0.25">
      <c r="C41" s="1">
        <v>2.85</v>
      </c>
      <c r="D41" s="1">
        <f t="shared" si="1"/>
        <v>0.7</v>
      </c>
      <c r="E41" s="1">
        <v>0.1</v>
      </c>
      <c r="F41" s="27">
        <f t="shared" si="2"/>
        <v>0.1855</v>
      </c>
      <c r="G41" s="27">
        <f t="shared" si="3"/>
        <v>2.65</v>
      </c>
      <c r="I41">
        <f t="shared" si="4"/>
        <v>2.77</v>
      </c>
      <c r="J41">
        <f t="shared" si="5"/>
        <v>14.25</v>
      </c>
      <c r="K41" s="55">
        <v>15</v>
      </c>
    </row>
    <row r="42" spans="3:11" x14ac:dyDescent="0.25">
      <c r="C42" s="1">
        <v>5.75</v>
      </c>
      <c r="D42" s="1">
        <f t="shared" si="1"/>
        <v>0.7</v>
      </c>
      <c r="E42" s="1">
        <v>0.1</v>
      </c>
      <c r="F42" s="27">
        <f t="shared" si="2"/>
        <v>0.38850000000000001</v>
      </c>
      <c r="G42" s="27">
        <f t="shared" si="3"/>
        <v>5.55</v>
      </c>
      <c r="I42">
        <f t="shared" si="4"/>
        <v>5.67</v>
      </c>
      <c r="J42">
        <f t="shared" si="5"/>
        <v>28.75</v>
      </c>
      <c r="K42" s="55">
        <v>29</v>
      </c>
    </row>
    <row r="43" spans="3:11" x14ac:dyDescent="0.25">
      <c r="C43" s="1">
        <v>5.75</v>
      </c>
      <c r="D43" s="1">
        <f t="shared" si="1"/>
        <v>0.7</v>
      </c>
      <c r="E43" s="1">
        <v>0.1</v>
      </c>
      <c r="F43" s="27">
        <f t="shared" si="2"/>
        <v>0.38850000000000001</v>
      </c>
      <c r="G43" s="27">
        <f t="shared" si="3"/>
        <v>5.55</v>
      </c>
      <c r="I43">
        <f t="shared" si="4"/>
        <v>5.67</v>
      </c>
      <c r="J43">
        <f t="shared" si="5"/>
        <v>28.75</v>
      </c>
      <c r="K43" s="55">
        <v>29</v>
      </c>
    </row>
    <row r="44" spans="3:11" x14ac:dyDescent="0.25">
      <c r="C44" s="1">
        <v>2.85</v>
      </c>
      <c r="D44" s="1">
        <f t="shared" si="1"/>
        <v>0.7</v>
      </c>
      <c r="E44" s="1">
        <v>0.1</v>
      </c>
      <c r="F44" s="27">
        <f t="shared" si="2"/>
        <v>0.1855</v>
      </c>
      <c r="G44" s="27">
        <f t="shared" si="3"/>
        <v>2.65</v>
      </c>
      <c r="I44">
        <f t="shared" si="4"/>
        <v>2.77</v>
      </c>
      <c r="J44">
        <f t="shared" si="5"/>
        <v>14.25</v>
      </c>
      <c r="K44" s="55">
        <v>15</v>
      </c>
    </row>
    <row r="45" spans="3:11" x14ac:dyDescent="0.25">
      <c r="C45" s="1">
        <v>4.4749999999999996</v>
      </c>
      <c r="D45" s="1">
        <f t="shared" si="1"/>
        <v>0.7</v>
      </c>
      <c r="E45" s="1">
        <v>0.1</v>
      </c>
      <c r="F45" s="27">
        <f t="shared" si="2"/>
        <v>0.29924999999999996</v>
      </c>
      <c r="G45" s="27">
        <f t="shared" si="3"/>
        <v>4.2749999999999995</v>
      </c>
      <c r="I45">
        <f t="shared" si="4"/>
        <v>4.3949999999999996</v>
      </c>
      <c r="J45">
        <f t="shared" si="5"/>
        <v>22.374999999999996</v>
      </c>
      <c r="K45" s="55">
        <v>23</v>
      </c>
    </row>
    <row r="46" spans="3:11" x14ac:dyDescent="0.25">
      <c r="C46" s="1">
        <v>1.575</v>
      </c>
      <c r="D46" s="1">
        <f t="shared" si="1"/>
        <v>0.7</v>
      </c>
      <c r="E46" s="1">
        <v>0.1</v>
      </c>
      <c r="F46" s="27">
        <f t="shared" si="2"/>
        <v>9.6250000000000002E-2</v>
      </c>
      <c r="G46" s="27">
        <f t="shared" si="3"/>
        <v>1.375</v>
      </c>
      <c r="I46">
        <f t="shared" si="4"/>
        <v>1.4949999999999999</v>
      </c>
      <c r="J46">
        <f t="shared" si="5"/>
        <v>7.8749999999999991</v>
      </c>
      <c r="K46" s="55">
        <v>8</v>
      </c>
    </row>
    <row r="47" spans="3:11" x14ac:dyDescent="0.25">
      <c r="C47" s="1">
        <v>4.3499999999999996</v>
      </c>
      <c r="D47" s="1">
        <f t="shared" si="1"/>
        <v>0.7</v>
      </c>
      <c r="E47" s="1">
        <v>0.1</v>
      </c>
      <c r="F47" s="27">
        <f t="shared" si="2"/>
        <v>0.29049999999999992</v>
      </c>
      <c r="G47" s="27">
        <f t="shared" si="3"/>
        <v>4.1499999999999995</v>
      </c>
      <c r="I47">
        <f t="shared" si="4"/>
        <v>4.2699999999999996</v>
      </c>
      <c r="J47">
        <f t="shared" si="5"/>
        <v>21.749999999999996</v>
      </c>
      <c r="K47" s="55">
        <v>22</v>
      </c>
    </row>
    <row r="48" spans="3:11" x14ac:dyDescent="0.25">
      <c r="C48" s="1">
        <v>4.3499999999999996</v>
      </c>
      <c r="D48" s="1">
        <f t="shared" si="1"/>
        <v>0.7</v>
      </c>
      <c r="E48" s="1">
        <v>0.1</v>
      </c>
      <c r="F48" s="27">
        <f t="shared" si="2"/>
        <v>0.29049999999999992</v>
      </c>
      <c r="G48" s="27">
        <f t="shared" si="3"/>
        <v>4.1499999999999995</v>
      </c>
      <c r="I48">
        <f t="shared" si="4"/>
        <v>4.2699999999999996</v>
      </c>
      <c r="J48">
        <f t="shared" si="5"/>
        <v>21.749999999999996</v>
      </c>
      <c r="K48" s="55">
        <v>22</v>
      </c>
    </row>
    <row r="49" spans="3:11" x14ac:dyDescent="0.25">
      <c r="C49" s="1">
        <v>4.3499999999999996</v>
      </c>
      <c r="D49" s="1">
        <f t="shared" si="1"/>
        <v>0.7</v>
      </c>
      <c r="E49" s="1">
        <v>0.1</v>
      </c>
      <c r="F49" s="27">
        <f t="shared" si="2"/>
        <v>0.29049999999999992</v>
      </c>
      <c r="G49" s="27">
        <f t="shared" si="3"/>
        <v>4.1499999999999995</v>
      </c>
      <c r="I49">
        <f t="shared" si="4"/>
        <v>4.2699999999999996</v>
      </c>
      <c r="J49">
        <f t="shared" si="5"/>
        <v>21.749999999999996</v>
      </c>
      <c r="K49" s="55">
        <v>22</v>
      </c>
    </row>
    <row r="50" spans="3:11" x14ac:dyDescent="0.25">
      <c r="C50" s="1">
        <v>4.3499999999999996</v>
      </c>
      <c r="D50" s="1">
        <f t="shared" si="1"/>
        <v>0.7</v>
      </c>
      <c r="E50" s="1">
        <v>0.1</v>
      </c>
      <c r="F50" s="27">
        <f t="shared" si="2"/>
        <v>0.29049999999999992</v>
      </c>
      <c r="G50" s="27">
        <f t="shared" si="3"/>
        <v>4.1499999999999995</v>
      </c>
      <c r="I50">
        <f t="shared" si="4"/>
        <v>4.2699999999999996</v>
      </c>
      <c r="J50">
        <f t="shared" si="5"/>
        <v>21.749999999999996</v>
      </c>
      <c r="K50" s="55">
        <v>22</v>
      </c>
    </row>
    <row r="51" spans="3:11" x14ac:dyDescent="0.25">
      <c r="C51" s="1">
        <v>2.85</v>
      </c>
      <c r="D51" s="1">
        <f t="shared" si="1"/>
        <v>0.7</v>
      </c>
      <c r="E51" s="1">
        <v>0.1</v>
      </c>
      <c r="F51" s="27">
        <f t="shared" si="2"/>
        <v>0.1855</v>
      </c>
      <c r="G51" s="27">
        <f t="shared" si="3"/>
        <v>2.65</v>
      </c>
      <c r="I51">
        <f t="shared" si="4"/>
        <v>2.77</v>
      </c>
      <c r="J51">
        <f t="shared" si="5"/>
        <v>14.25</v>
      </c>
      <c r="K51" s="55">
        <v>15</v>
      </c>
    </row>
    <row r="52" spans="3:11" x14ac:dyDescent="0.25">
      <c r="C52" s="1">
        <v>4.3499999999999996</v>
      </c>
      <c r="D52" s="1">
        <f t="shared" si="1"/>
        <v>0.7</v>
      </c>
      <c r="E52" s="1">
        <v>0.1</v>
      </c>
      <c r="F52" s="27">
        <f t="shared" si="2"/>
        <v>0.29049999999999992</v>
      </c>
      <c r="G52" s="27">
        <f t="shared" si="3"/>
        <v>4.1499999999999995</v>
      </c>
      <c r="I52">
        <f t="shared" si="4"/>
        <v>4.2699999999999996</v>
      </c>
      <c r="J52">
        <f t="shared" si="5"/>
        <v>21.749999999999996</v>
      </c>
      <c r="K52" s="55">
        <v>22</v>
      </c>
    </row>
    <row r="53" spans="3:11" x14ac:dyDescent="0.25">
      <c r="C53" s="1">
        <v>4.3499999999999996</v>
      </c>
      <c r="D53" s="1">
        <f t="shared" si="1"/>
        <v>0.7</v>
      </c>
      <c r="E53" s="1">
        <v>0.1</v>
      </c>
      <c r="F53" s="27">
        <f t="shared" si="2"/>
        <v>0.29049999999999992</v>
      </c>
      <c r="G53" s="27">
        <f t="shared" si="3"/>
        <v>4.1499999999999995</v>
      </c>
      <c r="I53">
        <f t="shared" si="4"/>
        <v>4.2699999999999996</v>
      </c>
      <c r="J53">
        <f t="shared" si="5"/>
        <v>21.749999999999996</v>
      </c>
      <c r="K53" s="55">
        <v>22</v>
      </c>
    </row>
    <row r="54" spans="3:11" x14ac:dyDescent="0.25">
      <c r="C54" s="1">
        <v>4.3499999999999996</v>
      </c>
      <c r="D54" s="1">
        <f t="shared" si="1"/>
        <v>0.7</v>
      </c>
      <c r="E54" s="1">
        <v>0.1</v>
      </c>
      <c r="F54" s="27">
        <f t="shared" si="2"/>
        <v>0.29049999999999992</v>
      </c>
      <c r="G54" s="27">
        <f t="shared" si="3"/>
        <v>4.1499999999999995</v>
      </c>
      <c r="I54">
        <f t="shared" si="4"/>
        <v>4.2699999999999996</v>
      </c>
      <c r="J54">
        <f t="shared" si="5"/>
        <v>21.749999999999996</v>
      </c>
      <c r="K54" s="55">
        <v>22</v>
      </c>
    </row>
    <row r="55" spans="3:11" x14ac:dyDescent="0.25">
      <c r="C55" s="1">
        <v>5.75</v>
      </c>
      <c r="D55" s="1">
        <f t="shared" si="1"/>
        <v>0.7</v>
      </c>
      <c r="E55" s="1">
        <v>0.1</v>
      </c>
      <c r="F55" s="27">
        <f t="shared" si="2"/>
        <v>0.38850000000000001</v>
      </c>
      <c r="G55" s="27">
        <f t="shared" si="3"/>
        <v>5.55</v>
      </c>
      <c r="I55">
        <f t="shared" si="4"/>
        <v>5.67</v>
      </c>
      <c r="J55">
        <f t="shared" si="5"/>
        <v>28.75</v>
      </c>
      <c r="K55" s="55">
        <v>29</v>
      </c>
    </row>
    <row r="56" spans="3:11" x14ac:dyDescent="0.25">
      <c r="C56" s="1">
        <v>5.75</v>
      </c>
      <c r="D56" s="1">
        <f t="shared" si="1"/>
        <v>0.7</v>
      </c>
      <c r="E56" s="1">
        <v>0.1</v>
      </c>
      <c r="F56" s="27">
        <f t="shared" si="2"/>
        <v>0.38850000000000001</v>
      </c>
      <c r="G56" s="27">
        <f t="shared" si="3"/>
        <v>5.55</v>
      </c>
      <c r="I56">
        <f t="shared" si="4"/>
        <v>5.67</v>
      </c>
      <c r="J56">
        <f t="shared" si="5"/>
        <v>28.75</v>
      </c>
      <c r="K56" s="55">
        <v>29</v>
      </c>
    </row>
    <row r="57" spans="3:11" x14ac:dyDescent="0.25">
      <c r="C57" s="1">
        <v>2.85</v>
      </c>
      <c r="D57" s="1">
        <f t="shared" si="1"/>
        <v>0.7</v>
      </c>
      <c r="E57" s="1">
        <v>0.1</v>
      </c>
      <c r="F57" s="27">
        <f t="shared" si="2"/>
        <v>0.1855</v>
      </c>
      <c r="G57" s="27">
        <f t="shared" si="3"/>
        <v>2.65</v>
      </c>
      <c r="I57">
        <f t="shared" si="4"/>
        <v>2.77</v>
      </c>
      <c r="J57">
        <f t="shared" si="5"/>
        <v>14.25</v>
      </c>
      <c r="K57" s="55">
        <v>15</v>
      </c>
    </row>
    <row r="58" spans="3:11" x14ac:dyDescent="0.25">
      <c r="C58" s="1">
        <v>2.85</v>
      </c>
      <c r="D58" s="1">
        <f t="shared" si="1"/>
        <v>0.7</v>
      </c>
      <c r="E58" s="1">
        <v>0.1</v>
      </c>
      <c r="F58" s="27">
        <f t="shared" si="2"/>
        <v>0.1855</v>
      </c>
      <c r="G58" s="27">
        <f t="shared" si="3"/>
        <v>2.65</v>
      </c>
      <c r="I58">
        <f t="shared" si="4"/>
        <v>2.77</v>
      </c>
      <c r="J58">
        <f t="shared" si="5"/>
        <v>14.25</v>
      </c>
      <c r="K58" s="55">
        <v>15</v>
      </c>
    </row>
    <row r="59" spans="3:11" x14ac:dyDescent="0.25">
      <c r="C59" s="1">
        <v>4.3499999999999996</v>
      </c>
      <c r="D59" s="1">
        <f t="shared" si="1"/>
        <v>0.7</v>
      </c>
      <c r="E59" s="1">
        <v>0.1</v>
      </c>
      <c r="F59" s="27">
        <f t="shared" si="2"/>
        <v>0.29049999999999992</v>
      </c>
      <c r="G59" s="27">
        <f t="shared" si="3"/>
        <v>4.1499999999999995</v>
      </c>
      <c r="I59">
        <f t="shared" si="4"/>
        <v>4.2699999999999996</v>
      </c>
      <c r="J59">
        <f t="shared" si="5"/>
        <v>21.749999999999996</v>
      </c>
      <c r="K59" s="55">
        <v>22</v>
      </c>
    </row>
    <row r="60" spans="3:11" x14ac:dyDescent="0.25">
      <c r="C60" s="1">
        <v>4.3499999999999996</v>
      </c>
      <c r="D60" s="1">
        <f t="shared" si="1"/>
        <v>0.7</v>
      </c>
      <c r="E60" s="1">
        <v>0.1</v>
      </c>
      <c r="F60" s="27">
        <f t="shared" si="2"/>
        <v>0.29049999999999992</v>
      </c>
      <c r="G60" s="27">
        <f t="shared" si="3"/>
        <v>4.1499999999999995</v>
      </c>
      <c r="I60">
        <f t="shared" si="4"/>
        <v>4.2699999999999996</v>
      </c>
      <c r="J60">
        <f t="shared" si="5"/>
        <v>21.749999999999996</v>
      </c>
      <c r="K60" s="55">
        <v>22</v>
      </c>
    </row>
    <row r="61" spans="3:11" x14ac:dyDescent="0.25">
      <c r="C61" s="1">
        <v>4.3499999999999996</v>
      </c>
      <c r="D61" s="1">
        <f t="shared" si="1"/>
        <v>0.7</v>
      </c>
      <c r="E61" s="1">
        <v>0.1</v>
      </c>
      <c r="F61" s="27">
        <f t="shared" si="2"/>
        <v>0.29049999999999992</v>
      </c>
      <c r="G61" s="27">
        <f t="shared" si="3"/>
        <v>4.1499999999999995</v>
      </c>
      <c r="I61">
        <f t="shared" si="4"/>
        <v>4.2699999999999996</v>
      </c>
      <c r="J61">
        <f t="shared" si="5"/>
        <v>21.749999999999996</v>
      </c>
      <c r="K61" s="55">
        <v>22</v>
      </c>
    </row>
    <row r="62" spans="3:11" x14ac:dyDescent="0.25">
      <c r="C62" s="1">
        <v>4.3499999999999996</v>
      </c>
      <c r="D62" s="1">
        <f t="shared" si="1"/>
        <v>0.7</v>
      </c>
      <c r="E62" s="1">
        <v>0.1</v>
      </c>
      <c r="F62" s="27">
        <f t="shared" si="2"/>
        <v>0.29049999999999992</v>
      </c>
      <c r="G62" s="27">
        <f t="shared" si="3"/>
        <v>4.1499999999999995</v>
      </c>
      <c r="I62">
        <f t="shared" si="4"/>
        <v>4.2699999999999996</v>
      </c>
      <c r="J62">
        <f t="shared" si="5"/>
        <v>21.749999999999996</v>
      </c>
      <c r="K62" s="55">
        <v>22</v>
      </c>
    </row>
    <row r="63" spans="3:11" x14ac:dyDescent="0.25">
      <c r="C63" s="1">
        <v>2.585</v>
      </c>
      <c r="D63" s="1">
        <f t="shared" si="1"/>
        <v>0.7</v>
      </c>
      <c r="E63" s="1">
        <v>0.1</v>
      </c>
      <c r="F63" s="27">
        <f t="shared" si="2"/>
        <v>0.16694999999999999</v>
      </c>
      <c r="G63" s="27">
        <f t="shared" si="3"/>
        <v>2.3849999999999998</v>
      </c>
      <c r="I63">
        <f t="shared" si="4"/>
        <v>2.5049999999999999</v>
      </c>
      <c r="J63">
        <f t="shared" si="5"/>
        <v>12.924999999999999</v>
      </c>
      <c r="K63" s="55">
        <v>13</v>
      </c>
    </row>
    <row r="64" spans="3:11" x14ac:dyDescent="0.25">
      <c r="C64" s="52">
        <f>3.775</f>
        <v>3.7749999999999999</v>
      </c>
      <c r="D64" s="1">
        <f t="shared" si="1"/>
        <v>0.7</v>
      </c>
      <c r="E64" s="1">
        <v>0.1</v>
      </c>
      <c r="F64" s="27">
        <f t="shared" si="2"/>
        <v>0.25024999999999997</v>
      </c>
      <c r="G64" s="27">
        <f t="shared" si="3"/>
        <v>3.5749999999999997</v>
      </c>
      <c r="I64">
        <f t="shared" si="4"/>
        <v>3.6949999999999998</v>
      </c>
      <c r="J64">
        <f t="shared" si="5"/>
        <v>18.875</v>
      </c>
      <c r="K64" s="55">
        <v>19</v>
      </c>
    </row>
    <row r="65" spans="3:12" x14ac:dyDescent="0.25">
      <c r="C65" s="1">
        <v>4.3499999999999996</v>
      </c>
      <c r="D65" s="1">
        <f t="shared" si="1"/>
        <v>0.7</v>
      </c>
      <c r="E65" s="1">
        <v>0.1</v>
      </c>
      <c r="F65" s="27">
        <f t="shared" si="2"/>
        <v>0.29049999999999992</v>
      </c>
      <c r="G65" s="27">
        <f t="shared" si="3"/>
        <v>4.1499999999999995</v>
      </c>
      <c r="I65">
        <f t="shared" si="4"/>
        <v>4.2699999999999996</v>
      </c>
      <c r="J65">
        <f t="shared" si="5"/>
        <v>21.749999999999996</v>
      </c>
      <c r="K65" s="55">
        <v>22</v>
      </c>
    </row>
    <row r="66" spans="3:12" x14ac:dyDescent="0.25">
      <c r="C66" s="1">
        <v>4.3499999999999996</v>
      </c>
      <c r="D66" s="1">
        <f t="shared" si="1"/>
        <v>0.7</v>
      </c>
      <c r="E66" s="1">
        <v>0.1</v>
      </c>
      <c r="F66" s="27">
        <f t="shared" si="2"/>
        <v>0.29049999999999992</v>
      </c>
      <c r="G66" s="27">
        <f t="shared" si="3"/>
        <v>4.1499999999999995</v>
      </c>
      <c r="I66">
        <f t="shared" si="4"/>
        <v>4.2699999999999996</v>
      </c>
      <c r="J66">
        <f t="shared" si="5"/>
        <v>21.749999999999996</v>
      </c>
      <c r="K66" s="55">
        <v>22</v>
      </c>
    </row>
    <row r="67" spans="3:12" x14ac:dyDescent="0.25">
      <c r="C67" s="1">
        <v>4.3499999999999996</v>
      </c>
      <c r="D67" s="1">
        <f t="shared" ref="D67:D83" si="10">0.5+0.1+0.1</f>
        <v>0.7</v>
      </c>
      <c r="E67" s="1">
        <v>0.1</v>
      </c>
      <c r="F67" s="27">
        <f t="shared" ref="F67:F83" si="11">G67*D67*E67</f>
        <v>0.29049999999999992</v>
      </c>
      <c r="G67" s="27">
        <f t="shared" ref="G67:G83" si="12">C67-0.2</f>
        <v>4.1499999999999995</v>
      </c>
      <c r="I67">
        <f t="shared" ref="I67:I82" si="13">C67-0.08</f>
        <v>4.2699999999999996</v>
      </c>
      <c r="J67">
        <f t="shared" ref="J67:J83" si="14">(C67/0.2)</f>
        <v>21.749999999999996</v>
      </c>
      <c r="K67" s="55">
        <v>22</v>
      </c>
    </row>
    <row r="68" spans="3:12" x14ac:dyDescent="0.25">
      <c r="C68" s="1">
        <v>4.3499999999999996</v>
      </c>
      <c r="D68" s="1">
        <f t="shared" si="10"/>
        <v>0.7</v>
      </c>
      <c r="E68" s="1">
        <v>0.1</v>
      </c>
      <c r="F68" s="27">
        <f t="shared" si="11"/>
        <v>0.29049999999999992</v>
      </c>
      <c r="G68" s="27">
        <f t="shared" si="12"/>
        <v>4.1499999999999995</v>
      </c>
      <c r="I68">
        <f t="shared" si="13"/>
        <v>4.2699999999999996</v>
      </c>
      <c r="J68">
        <f t="shared" si="14"/>
        <v>21.749999999999996</v>
      </c>
      <c r="K68" s="55">
        <v>22</v>
      </c>
    </row>
    <row r="69" spans="3:12" x14ac:dyDescent="0.25">
      <c r="C69" s="1">
        <v>4.3499999999999996</v>
      </c>
      <c r="D69" s="1">
        <f t="shared" si="10"/>
        <v>0.7</v>
      </c>
      <c r="E69" s="1">
        <v>0.1</v>
      </c>
      <c r="F69" s="27">
        <f t="shared" si="11"/>
        <v>0.29049999999999992</v>
      </c>
      <c r="G69" s="27">
        <f t="shared" si="12"/>
        <v>4.1499999999999995</v>
      </c>
      <c r="I69">
        <f t="shared" si="13"/>
        <v>4.2699999999999996</v>
      </c>
      <c r="J69">
        <f t="shared" si="14"/>
        <v>21.749999999999996</v>
      </c>
      <c r="K69" s="55">
        <v>22</v>
      </c>
    </row>
    <row r="70" spans="3:12" x14ac:dyDescent="0.25">
      <c r="C70" s="1">
        <v>2.15</v>
      </c>
      <c r="D70" s="1">
        <f t="shared" si="10"/>
        <v>0.7</v>
      </c>
      <c r="E70" s="1">
        <v>0.1</v>
      </c>
      <c r="F70" s="27">
        <f t="shared" si="11"/>
        <v>0.13650000000000001</v>
      </c>
      <c r="G70" s="27">
        <f t="shared" si="12"/>
        <v>1.95</v>
      </c>
      <c r="I70">
        <f t="shared" si="13"/>
        <v>2.0699999999999998</v>
      </c>
      <c r="J70">
        <f t="shared" si="14"/>
        <v>10.749999999999998</v>
      </c>
      <c r="K70" s="55">
        <v>11</v>
      </c>
    </row>
    <row r="71" spans="3:12" x14ac:dyDescent="0.25">
      <c r="C71" s="1">
        <v>4.3499999999999996</v>
      </c>
      <c r="D71" s="1">
        <f t="shared" si="10"/>
        <v>0.7</v>
      </c>
      <c r="E71" s="1">
        <v>0.1</v>
      </c>
      <c r="F71" s="27">
        <f t="shared" si="11"/>
        <v>0.29049999999999992</v>
      </c>
      <c r="G71" s="27">
        <f t="shared" si="12"/>
        <v>4.1499999999999995</v>
      </c>
      <c r="I71">
        <f t="shared" si="13"/>
        <v>4.2699999999999996</v>
      </c>
      <c r="J71">
        <f t="shared" si="14"/>
        <v>21.749999999999996</v>
      </c>
      <c r="K71" s="55">
        <v>22</v>
      </c>
    </row>
    <row r="72" spans="3:12" x14ac:dyDescent="0.25">
      <c r="C72" s="1">
        <v>4.3499999999999996</v>
      </c>
      <c r="D72" s="1">
        <f t="shared" si="10"/>
        <v>0.7</v>
      </c>
      <c r="E72" s="1">
        <v>0.1</v>
      </c>
      <c r="F72" s="27">
        <f t="shared" si="11"/>
        <v>0.29049999999999992</v>
      </c>
      <c r="G72" s="27">
        <f t="shared" si="12"/>
        <v>4.1499999999999995</v>
      </c>
      <c r="I72">
        <f t="shared" si="13"/>
        <v>4.2699999999999996</v>
      </c>
      <c r="J72">
        <f t="shared" si="14"/>
        <v>21.749999999999996</v>
      </c>
      <c r="K72" s="55">
        <v>22</v>
      </c>
    </row>
    <row r="73" spans="3:12" x14ac:dyDescent="0.25">
      <c r="C73" s="1">
        <v>4.3499999999999996</v>
      </c>
      <c r="D73" s="1">
        <f t="shared" si="10"/>
        <v>0.7</v>
      </c>
      <c r="E73" s="1">
        <v>0.1</v>
      </c>
      <c r="F73" s="27">
        <f t="shared" si="11"/>
        <v>0.29049999999999992</v>
      </c>
      <c r="G73" s="27">
        <f t="shared" si="12"/>
        <v>4.1499999999999995</v>
      </c>
      <c r="I73">
        <f t="shared" si="13"/>
        <v>4.2699999999999996</v>
      </c>
      <c r="J73">
        <f t="shared" si="14"/>
        <v>21.749999999999996</v>
      </c>
      <c r="K73" s="55">
        <v>22</v>
      </c>
    </row>
    <row r="74" spans="3:12" x14ac:dyDescent="0.25">
      <c r="C74" s="1">
        <v>4.3499999999999996</v>
      </c>
      <c r="D74" s="1">
        <f t="shared" si="10"/>
        <v>0.7</v>
      </c>
      <c r="E74" s="1">
        <v>0.1</v>
      </c>
      <c r="F74" s="27">
        <f t="shared" si="11"/>
        <v>0.29049999999999992</v>
      </c>
      <c r="G74" s="27">
        <f t="shared" si="12"/>
        <v>4.1499999999999995</v>
      </c>
      <c r="I74">
        <f t="shared" si="13"/>
        <v>4.2699999999999996</v>
      </c>
      <c r="J74">
        <f t="shared" si="14"/>
        <v>21.749999999999996</v>
      </c>
      <c r="K74" s="55">
        <v>22</v>
      </c>
    </row>
    <row r="75" spans="3:12" x14ac:dyDescent="0.25">
      <c r="C75" s="1">
        <v>2.15</v>
      </c>
      <c r="D75" s="1">
        <f t="shared" si="10"/>
        <v>0.7</v>
      </c>
      <c r="E75" s="1">
        <v>0.1</v>
      </c>
      <c r="F75" s="27">
        <f t="shared" si="11"/>
        <v>0.13650000000000001</v>
      </c>
      <c r="G75" s="27">
        <f t="shared" si="12"/>
        <v>1.95</v>
      </c>
      <c r="I75">
        <f t="shared" si="13"/>
        <v>2.0699999999999998</v>
      </c>
      <c r="J75">
        <f t="shared" si="14"/>
        <v>10.749999999999998</v>
      </c>
      <c r="K75" s="55">
        <v>11</v>
      </c>
    </row>
    <row r="76" spans="3:12" x14ac:dyDescent="0.25">
      <c r="C76" s="1">
        <v>3.6749999999999998</v>
      </c>
      <c r="D76" s="1">
        <f t="shared" si="10"/>
        <v>0.7</v>
      </c>
      <c r="E76" s="1">
        <v>0.1</v>
      </c>
      <c r="F76" s="27">
        <f t="shared" si="11"/>
        <v>0.24324999999999997</v>
      </c>
      <c r="G76" s="27">
        <f t="shared" si="12"/>
        <v>3.4749999999999996</v>
      </c>
      <c r="I76">
        <f t="shared" si="13"/>
        <v>3.5949999999999998</v>
      </c>
      <c r="J76">
        <f t="shared" si="14"/>
        <v>18.374999999999996</v>
      </c>
      <c r="K76" s="55">
        <v>19</v>
      </c>
    </row>
    <row r="77" spans="3:12" x14ac:dyDescent="0.25">
      <c r="C77" s="1">
        <v>4.3499999999999996</v>
      </c>
      <c r="D77" s="1">
        <f t="shared" si="10"/>
        <v>0.7</v>
      </c>
      <c r="E77" s="1">
        <v>0.1</v>
      </c>
      <c r="F77" s="27">
        <f t="shared" si="11"/>
        <v>0.29049999999999992</v>
      </c>
      <c r="G77" s="27">
        <f t="shared" si="12"/>
        <v>4.1499999999999995</v>
      </c>
      <c r="I77">
        <f t="shared" si="13"/>
        <v>4.2699999999999996</v>
      </c>
      <c r="J77">
        <f t="shared" si="14"/>
        <v>21.749999999999996</v>
      </c>
      <c r="K77" s="55">
        <v>22</v>
      </c>
      <c r="L77" s="56"/>
    </row>
    <row r="78" spans="3:12" x14ac:dyDescent="0.25">
      <c r="C78" s="1">
        <v>4.3499999999999996</v>
      </c>
      <c r="D78" s="1">
        <f t="shared" si="10"/>
        <v>0.7</v>
      </c>
      <c r="E78" s="1">
        <v>0.1</v>
      </c>
      <c r="F78" s="27">
        <f t="shared" si="11"/>
        <v>0.29049999999999992</v>
      </c>
      <c r="G78" s="27">
        <f t="shared" si="12"/>
        <v>4.1499999999999995</v>
      </c>
      <c r="I78">
        <f t="shared" si="13"/>
        <v>4.2699999999999996</v>
      </c>
      <c r="J78">
        <f t="shared" si="14"/>
        <v>21.749999999999996</v>
      </c>
      <c r="K78" s="55">
        <v>22</v>
      </c>
    </row>
    <row r="79" spans="3:12" x14ac:dyDescent="0.25">
      <c r="C79" s="1">
        <v>4.3499999999999996</v>
      </c>
      <c r="D79" s="1">
        <f t="shared" si="10"/>
        <v>0.7</v>
      </c>
      <c r="E79" s="1">
        <v>0.1</v>
      </c>
      <c r="F79" s="27">
        <f t="shared" si="11"/>
        <v>0.29049999999999992</v>
      </c>
      <c r="G79" s="27">
        <f t="shared" si="12"/>
        <v>4.1499999999999995</v>
      </c>
      <c r="I79">
        <f t="shared" si="13"/>
        <v>4.2699999999999996</v>
      </c>
      <c r="J79">
        <f t="shared" si="14"/>
        <v>21.749999999999996</v>
      </c>
      <c r="K79" s="55">
        <v>22</v>
      </c>
    </row>
    <row r="80" spans="3:12" x14ac:dyDescent="0.25">
      <c r="C80" s="1">
        <v>4.3499999999999996</v>
      </c>
      <c r="D80" s="1">
        <f t="shared" si="10"/>
        <v>0.7</v>
      </c>
      <c r="E80" s="1">
        <v>0.1</v>
      </c>
      <c r="F80" s="27">
        <f t="shared" si="11"/>
        <v>0.29049999999999992</v>
      </c>
      <c r="G80" s="27">
        <f t="shared" si="12"/>
        <v>4.1499999999999995</v>
      </c>
      <c r="I80">
        <f t="shared" si="13"/>
        <v>4.2699999999999996</v>
      </c>
      <c r="J80">
        <f t="shared" si="14"/>
        <v>21.749999999999996</v>
      </c>
      <c r="K80" s="55">
        <v>22</v>
      </c>
    </row>
    <row r="81" spans="2:13" x14ac:dyDescent="0.25">
      <c r="C81" s="1">
        <v>4.3499999999999996</v>
      </c>
      <c r="D81" s="1">
        <f t="shared" si="10"/>
        <v>0.7</v>
      </c>
      <c r="E81" s="1">
        <v>0.1</v>
      </c>
      <c r="F81" s="27">
        <f t="shared" si="11"/>
        <v>0.29049999999999992</v>
      </c>
      <c r="G81" s="27">
        <f t="shared" si="12"/>
        <v>4.1499999999999995</v>
      </c>
      <c r="I81">
        <f t="shared" si="13"/>
        <v>4.2699999999999996</v>
      </c>
      <c r="J81">
        <f t="shared" si="14"/>
        <v>21.749999999999996</v>
      </c>
      <c r="K81" s="55">
        <v>22</v>
      </c>
    </row>
    <row r="82" spans="2:13" x14ac:dyDescent="0.25">
      <c r="C82" s="1">
        <v>1.575</v>
      </c>
      <c r="D82" s="1">
        <f t="shared" si="10"/>
        <v>0.7</v>
      </c>
      <c r="E82" s="1">
        <v>0.1</v>
      </c>
      <c r="F82" s="27">
        <f t="shared" si="11"/>
        <v>9.6250000000000002E-2</v>
      </c>
      <c r="G82" s="27">
        <f t="shared" si="12"/>
        <v>1.375</v>
      </c>
      <c r="I82">
        <f t="shared" si="13"/>
        <v>1.4949999999999999</v>
      </c>
      <c r="J82">
        <f t="shared" si="14"/>
        <v>7.8749999999999991</v>
      </c>
      <c r="K82" s="55">
        <v>8</v>
      </c>
    </row>
    <row r="83" spans="2:13" x14ac:dyDescent="0.25">
      <c r="C83" s="1">
        <v>4.3499999999999996</v>
      </c>
      <c r="D83" s="1">
        <f t="shared" si="10"/>
        <v>0.7</v>
      </c>
      <c r="E83" s="1">
        <v>0.1</v>
      </c>
      <c r="F83" s="27">
        <f t="shared" si="11"/>
        <v>0.29049999999999992</v>
      </c>
      <c r="G83" s="27">
        <f t="shared" si="12"/>
        <v>4.1499999999999995</v>
      </c>
      <c r="I83">
        <f>C83-0.08</f>
        <v>4.2699999999999996</v>
      </c>
      <c r="J83">
        <f t="shared" si="14"/>
        <v>21.749999999999996</v>
      </c>
      <c r="K83" s="55">
        <v>22</v>
      </c>
    </row>
    <row r="84" spans="2:13" x14ac:dyDescent="0.25">
      <c r="C84" s="27">
        <f>SUM(C2:C83)</f>
        <v>334.96000000000009</v>
      </c>
      <c r="F84" s="28">
        <f>SUM(F2:F83)</f>
        <v>22.299200000000024</v>
      </c>
      <c r="G84" s="28"/>
      <c r="I84" s="29">
        <f>SUM(I2:I83)-I86-I87-I88</f>
        <v>325.93999999999988</v>
      </c>
      <c r="J84">
        <f>SUM(J2:J83)*2</f>
        <v>3349.6</v>
      </c>
      <c r="K84">
        <f>SUM(K2:K83)*2</f>
        <v>3400</v>
      </c>
    </row>
    <row r="86" spans="2:13" x14ac:dyDescent="0.25">
      <c r="C86" s="1" t="s">
        <v>49</v>
      </c>
      <c r="D86" s="1" t="s">
        <v>50</v>
      </c>
      <c r="E86" s="1" t="s">
        <v>51</v>
      </c>
      <c r="F86" s="1" t="s">
        <v>52</v>
      </c>
      <c r="I86">
        <f>0.9-0.08</f>
        <v>0.82000000000000006</v>
      </c>
    </row>
    <row r="87" spans="2:13" x14ac:dyDescent="0.25">
      <c r="B87" t="s">
        <v>111</v>
      </c>
      <c r="C87" s="53">
        <f>334.96*3</f>
        <v>1004.8799999999999</v>
      </c>
      <c r="D87" s="1">
        <f>49.3*6</f>
        <v>295.79999999999995</v>
      </c>
      <c r="E87" s="1">
        <f>8.7*5</f>
        <v>43.5</v>
      </c>
      <c r="F87" s="27">
        <f>15*4</f>
        <v>60</v>
      </c>
      <c r="G87" s="113">
        <f>SUM(C87:F87)</f>
        <v>1404.1799999999998</v>
      </c>
      <c r="H87" t="s">
        <v>53</v>
      </c>
      <c r="I87">
        <f>0.9-0.08</f>
        <v>0.82000000000000006</v>
      </c>
    </row>
    <row r="88" spans="2:13" x14ac:dyDescent="0.25">
      <c r="B88" t="s">
        <v>47</v>
      </c>
      <c r="C88" s="1">
        <f>334.96</f>
        <v>334.96</v>
      </c>
      <c r="G88" s="113">
        <f>C88</f>
        <v>334.96</v>
      </c>
      <c r="H88" t="s">
        <v>53</v>
      </c>
      <c r="I88">
        <f>0.9-0.08</f>
        <v>0.82000000000000006</v>
      </c>
    </row>
    <row r="89" spans="2:13" x14ac:dyDescent="0.25">
      <c r="B89" t="s">
        <v>48</v>
      </c>
      <c r="C89" s="1">
        <f>I84</f>
        <v>325.93999999999988</v>
      </c>
      <c r="G89" s="113">
        <f>I84</f>
        <v>325.93999999999988</v>
      </c>
      <c r="H89" t="s">
        <v>53</v>
      </c>
    </row>
    <row r="90" spans="2:13" x14ac:dyDescent="0.25">
      <c r="D90" s="1" t="s">
        <v>53</v>
      </c>
      <c r="E90" s="1" t="s">
        <v>53</v>
      </c>
      <c r="F90" s="27" t="s">
        <v>53</v>
      </c>
    </row>
    <row r="91" spans="2:13" x14ac:dyDescent="0.25">
      <c r="B91" t="s">
        <v>57</v>
      </c>
      <c r="C91" s="44">
        <f>(132*2.1*4)*2+(((2.25+2.25+2.25+2.25+4.25+3.55+3.55+4.25+4.25+4.25+2.975+4.25+4.25+4.25+3.985+2.975+3.55+3.55)*4)*2)</f>
        <v>2720.68</v>
      </c>
      <c r="D91" s="1">
        <f>(20*2.1*6)*2</f>
        <v>504</v>
      </c>
      <c r="E91" s="1">
        <f>(4*2.1*5)*2</f>
        <v>84</v>
      </c>
      <c r="F91" s="44">
        <f>((4.25+4.25+4.25+3.55+3.55+3.55)*4)*2</f>
        <v>187.20000000000002</v>
      </c>
      <c r="G91" s="44">
        <f>2716+504+84+192</f>
        <v>3496</v>
      </c>
      <c r="H91" t="s">
        <v>53</v>
      </c>
      <c r="K91" s="61"/>
      <c r="M91" s="61"/>
    </row>
    <row r="92" spans="2:13" x14ac:dyDescent="0.25">
      <c r="B92" t="s">
        <v>54</v>
      </c>
      <c r="D92" s="1">
        <f>S22</f>
        <v>500</v>
      </c>
      <c r="G92" s="44">
        <v>500</v>
      </c>
      <c r="H92" t="s">
        <v>53</v>
      </c>
    </row>
    <row r="93" spans="2:13" x14ac:dyDescent="0.25">
      <c r="B93" t="s">
        <v>55</v>
      </c>
      <c r="E93" s="1">
        <f>ROUND((8.7/0.2),0)*2</f>
        <v>88</v>
      </c>
      <c r="G93" s="44">
        <v>88</v>
      </c>
      <c r="H93" t="s">
        <v>53</v>
      </c>
    </row>
    <row r="94" spans="2:13" x14ac:dyDescent="0.25">
      <c r="B94" t="s">
        <v>56</v>
      </c>
      <c r="C94" s="44">
        <f>K84</f>
        <v>3400</v>
      </c>
      <c r="F94" s="44">
        <f>S8</f>
        <v>156</v>
      </c>
      <c r="G94" s="44">
        <f>SUM(C94:F94)</f>
        <v>3556</v>
      </c>
      <c r="H94" t="s">
        <v>53</v>
      </c>
      <c r="J94" s="26"/>
    </row>
    <row r="97" spans="6:7" x14ac:dyDescent="0.25">
      <c r="F97" s="99"/>
      <c r="G97" s="99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A67" zoomScaleNormal="100" workbookViewId="0">
      <selection activeCell="I93" sqref="I93"/>
    </sheetView>
  </sheetViews>
  <sheetFormatPr defaultRowHeight="15" x14ac:dyDescent="0.25"/>
  <cols>
    <col min="1" max="1" width="6.5703125" customWidth="1"/>
    <col min="2" max="2" width="20.7109375" customWidth="1"/>
    <col min="3" max="5" width="9.140625" style="1"/>
    <col min="6" max="7" width="9.140625" style="27"/>
    <col min="8" max="8" width="3.7109375" style="27" customWidth="1"/>
    <col min="9" max="9" width="17.7109375" customWidth="1"/>
    <col min="10" max="12" width="9.140625" style="1"/>
    <col min="13" max="13" width="9.140625" style="27"/>
    <col min="15" max="15" width="4.28515625" customWidth="1"/>
    <col min="16" max="16" width="21" customWidth="1"/>
    <col min="17" max="19" width="9.140625" style="1"/>
    <col min="22" max="22" width="4" customWidth="1"/>
    <col min="23" max="23" width="18.85546875" customWidth="1"/>
    <col min="24" max="26" width="9.140625" style="1"/>
    <col min="27" max="27" width="9.140625" style="27"/>
  </cols>
  <sheetData>
    <row r="1" spans="2:28" x14ac:dyDescent="0.25">
      <c r="T1" s="27"/>
    </row>
    <row r="2" spans="2:28" x14ac:dyDescent="0.25">
      <c r="B2" t="s">
        <v>30</v>
      </c>
      <c r="C2" s="1">
        <f>5.75</f>
        <v>5.75</v>
      </c>
      <c r="D2" s="1">
        <f>0.5+0.1+0.1</f>
        <v>0.7</v>
      </c>
      <c r="E2" s="1">
        <v>0.1</v>
      </c>
      <c r="F2" s="27">
        <f>G2*D2*E2</f>
        <v>0.38850000000000001</v>
      </c>
      <c r="G2" s="27">
        <f>C2-0.2</f>
        <v>5.55</v>
      </c>
      <c r="I2" t="s">
        <v>31</v>
      </c>
      <c r="J2" s="1">
        <f>5.175-0.825</f>
        <v>4.3499999999999996</v>
      </c>
      <c r="K2" s="1">
        <f>0.18+0.67+0.1+0.1</f>
        <v>1.05</v>
      </c>
      <c r="L2" s="1">
        <v>0.1</v>
      </c>
      <c r="M2" s="27">
        <f>N2*K2*L2</f>
        <v>0.43575000000000003</v>
      </c>
      <c r="N2">
        <f>J2-0.2</f>
        <v>4.1499999999999995</v>
      </c>
      <c r="P2" t="s">
        <v>32</v>
      </c>
      <c r="Q2" s="1">
        <v>4.3499999999999996</v>
      </c>
      <c r="R2" s="1">
        <f>0.6+0.1+0.1</f>
        <v>0.79999999999999993</v>
      </c>
      <c r="S2" s="1">
        <v>0.1</v>
      </c>
      <c r="T2" s="27">
        <f>U2*R2*S2</f>
        <v>0.33199999999999996</v>
      </c>
      <c r="U2">
        <f>Q2-0.2</f>
        <v>4.1499999999999995</v>
      </c>
      <c r="W2" t="s">
        <v>33</v>
      </c>
      <c r="X2" s="1">
        <v>2.15</v>
      </c>
      <c r="Y2" s="1">
        <f>0.5+0.1+0.1</f>
        <v>0.7</v>
      </c>
      <c r="Z2" s="1">
        <v>0.1</v>
      </c>
      <c r="AA2" s="27">
        <f>AB2*Y2*Z2</f>
        <v>0.13650000000000001</v>
      </c>
      <c r="AB2">
        <f>X2-0.2</f>
        <v>1.95</v>
      </c>
    </row>
    <row r="3" spans="2:28" x14ac:dyDescent="0.25">
      <c r="C3" s="1">
        <v>2.85</v>
      </c>
      <c r="D3" s="1">
        <f t="shared" ref="D3:D66" si="0">0.5+0.1+0.1</f>
        <v>0.7</v>
      </c>
      <c r="E3" s="1">
        <v>0.1</v>
      </c>
      <c r="F3" s="27">
        <f t="shared" ref="F3:F66" si="1">G3*D3*E3</f>
        <v>0.1855</v>
      </c>
      <c r="G3" s="27">
        <f t="shared" ref="G3:G66" si="2">C3-0.2</f>
        <v>2.65</v>
      </c>
      <c r="J3" s="1">
        <f>5.175-0.825</f>
        <v>4.3499999999999996</v>
      </c>
      <c r="K3" s="1">
        <f t="shared" ref="K3:K11" si="3">0.18+0.67+0.1+0.1</f>
        <v>1.05</v>
      </c>
      <c r="L3" s="1">
        <v>0.1</v>
      </c>
      <c r="M3" s="27">
        <f t="shared" ref="M3:M11" si="4">N3*K3*L3</f>
        <v>0.43575000000000003</v>
      </c>
      <c r="N3">
        <f t="shared" ref="N3:N11" si="5">J3-0.2</f>
        <v>4.1499999999999995</v>
      </c>
      <c r="Q3" s="1">
        <v>4.3499999999999996</v>
      </c>
      <c r="R3" s="1">
        <f>0.6+0.1+0.1</f>
        <v>0.79999999999999993</v>
      </c>
      <c r="S3" s="1">
        <v>0.1</v>
      </c>
      <c r="T3" s="27">
        <f>U3*R3*S3</f>
        <v>0.33199999999999996</v>
      </c>
      <c r="U3">
        <f>Q3-0.2</f>
        <v>4.1499999999999995</v>
      </c>
      <c r="X3" s="1">
        <v>2.15</v>
      </c>
      <c r="Y3" s="1">
        <f t="shared" ref="Y3:Y7" si="6">0.5+0.1+0.1</f>
        <v>0.7</v>
      </c>
      <c r="Z3" s="1">
        <v>0.1</v>
      </c>
      <c r="AA3" s="27">
        <f t="shared" ref="AA3:AA7" si="7">AB3*Y3*Z3</f>
        <v>0.13650000000000001</v>
      </c>
      <c r="AB3">
        <f t="shared" ref="AB3:AB7" si="8">X3-0.2</f>
        <v>1.95</v>
      </c>
    </row>
    <row r="4" spans="2:28" x14ac:dyDescent="0.25">
      <c r="C4" s="1">
        <v>4.4749999999999996</v>
      </c>
      <c r="D4" s="1">
        <f t="shared" si="0"/>
        <v>0.7</v>
      </c>
      <c r="E4" s="1">
        <v>0.1</v>
      </c>
      <c r="F4" s="27">
        <f t="shared" si="1"/>
        <v>0.29924999999999996</v>
      </c>
      <c r="G4" s="27">
        <f t="shared" si="2"/>
        <v>4.2749999999999995</v>
      </c>
      <c r="J4" s="1">
        <v>4.3499999999999996</v>
      </c>
      <c r="K4" s="1">
        <f t="shared" si="3"/>
        <v>1.05</v>
      </c>
      <c r="L4" s="1">
        <v>0.1</v>
      </c>
      <c r="M4" s="27">
        <f t="shared" si="4"/>
        <v>0.43575000000000003</v>
      </c>
      <c r="N4">
        <f t="shared" si="5"/>
        <v>4.1499999999999995</v>
      </c>
      <c r="Q4" s="43">
        <f>SUM(Q2:Q3)</f>
        <v>8.6999999999999993</v>
      </c>
      <c r="T4" s="28">
        <f>SUM(T2:T3)</f>
        <v>0.66399999999999992</v>
      </c>
      <c r="U4">
        <f>SUM(U2:U3)</f>
        <v>8.2999999999999989</v>
      </c>
      <c r="X4" s="1">
        <v>2.15</v>
      </c>
      <c r="Y4" s="1">
        <f t="shared" si="6"/>
        <v>0.7</v>
      </c>
      <c r="Z4" s="1">
        <v>0.1</v>
      </c>
      <c r="AA4" s="27">
        <f t="shared" si="7"/>
        <v>0.13650000000000001</v>
      </c>
      <c r="AB4">
        <f t="shared" si="8"/>
        <v>1.95</v>
      </c>
    </row>
    <row r="5" spans="2:28" x14ac:dyDescent="0.25">
      <c r="C5" s="1">
        <v>3.7749999999999999</v>
      </c>
      <c r="D5" s="1">
        <f t="shared" si="0"/>
        <v>0.7</v>
      </c>
      <c r="E5" s="1">
        <v>0.1</v>
      </c>
      <c r="F5" s="27">
        <f t="shared" si="1"/>
        <v>0.25024999999999997</v>
      </c>
      <c r="G5" s="27">
        <f t="shared" si="2"/>
        <v>3.5749999999999997</v>
      </c>
      <c r="J5" s="1">
        <v>4.3499999999999996</v>
      </c>
      <c r="K5" s="1">
        <f t="shared" si="3"/>
        <v>1.05</v>
      </c>
      <c r="L5" s="1">
        <v>0.1</v>
      </c>
      <c r="M5" s="27">
        <f t="shared" si="4"/>
        <v>0.43575000000000003</v>
      </c>
      <c r="N5">
        <f t="shared" si="5"/>
        <v>4.1499999999999995</v>
      </c>
      <c r="T5" s="27"/>
      <c r="X5" s="1">
        <v>2.85</v>
      </c>
      <c r="Y5" s="1">
        <f t="shared" si="6"/>
        <v>0.7</v>
      </c>
      <c r="Z5" s="1">
        <v>0.1</v>
      </c>
      <c r="AA5" s="27">
        <f t="shared" si="7"/>
        <v>0.1855</v>
      </c>
      <c r="AB5">
        <f t="shared" si="8"/>
        <v>2.65</v>
      </c>
    </row>
    <row r="6" spans="2:28" x14ac:dyDescent="0.25">
      <c r="C6" s="1">
        <v>4.3499999999999996</v>
      </c>
      <c r="D6" s="1">
        <f t="shared" si="0"/>
        <v>0.7</v>
      </c>
      <c r="E6" s="1">
        <v>0.1</v>
      </c>
      <c r="F6" s="27">
        <f t="shared" si="1"/>
        <v>0.29049999999999992</v>
      </c>
      <c r="G6" s="27">
        <f t="shared" si="2"/>
        <v>4.1499999999999995</v>
      </c>
      <c r="J6" s="1">
        <f>6-0.825-0.825</f>
        <v>4.3499999999999996</v>
      </c>
      <c r="K6" s="1">
        <f t="shared" si="3"/>
        <v>1.05</v>
      </c>
      <c r="L6" s="1">
        <v>0.1</v>
      </c>
      <c r="M6" s="27">
        <f t="shared" si="4"/>
        <v>0.43575000000000003</v>
      </c>
      <c r="N6">
        <f t="shared" si="5"/>
        <v>4.1499999999999995</v>
      </c>
      <c r="T6" s="27"/>
      <c r="X6" s="1">
        <v>2.85</v>
      </c>
      <c r="Y6" s="1">
        <f t="shared" si="6"/>
        <v>0.7</v>
      </c>
      <c r="Z6" s="1">
        <v>0.1</v>
      </c>
      <c r="AA6" s="27">
        <f t="shared" si="7"/>
        <v>0.1855</v>
      </c>
      <c r="AB6">
        <f t="shared" si="8"/>
        <v>2.65</v>
      </c>
    </row>
    <row r="7" spans="2:28" x14ac:dyDescent="0.25">
      <c r="C7" s="1">
        <v>4.3499999999999996</v>
      </c>
      <c r="D7" s="1">
        <f t="shared" si="0"/>
        <v>0.7</v>
      </c>
      <c r="E7" s="1">
        <v>0.1</v>
      </c>
      <c r="F7" s="27">
        <f t="shared" si="1"/>
        <v>0.29049999999999992</v>
      </c>
      <c r="G7" s="27">
        <f t="shared" si="2"/>
        <v>4.1499999999999995</v>
      </c>
      <c r="J7" s="1">
        <f>6-0.825-0.825</f>
        <v>4.3499999999999996</v>
      </c>
      <c r="K7" s="1">
        <f t="shared" si="3"/>
        <v>1.05</v>
      </c>
      <c r="L7" s="1">
        <v>0.1</v>
      </c>
      <c r="M7" s="27">
        <f t="shared" si="4"/>
        <v>0.43575000000000003</v>
      </c>
      <c r="N7">
        <f t="shared" si="5"/>
        <v>4.1499999999999995</v>
      </c>
      <c r="Q7" s="44"/>
      <c r="T7" s="27"/>
      <c r="X7" s="1">
        <v>2.85</v>
      </c>
      <c r="Y7" s="1">
        <f t="shared" si="6"/>
        <v>0.7</v>
      </c>
      <c r="Z7" s="1">
        <v>0.1</v>
      </c>
      <c r="AA7" s="27">
        <f t="shared" si="7"/>
        <v>0.1855</v>
      </c>
      <c r="AB7">
        <f t="shared" si="8"/>
        <v>2.65</v>
      </c>
    </row>
    <row r="8" spans="2:28" x14ac:dyDescent="0.25">
      <c r="C8" s="1">
        <v>4.3499999999999996</v>
      </c>
      <c r="D8" s="1">
        <f t="shared" si="0"/>
        <v>0.7</v>
      </c>
      <c r="E8" s="1">
        <v>0.1</v>
      </c>
      <c r="F8" s="27">
        <f t="shared" si="1"/>
        <v>0.29049999999999992</v>
      </c>
      <c r="G8" s="27">
        <f t="shared" si="2"/>
        <v>4.1499999999999995</v>
      </c>
      <c r="J8" s="1">
        <v>5.75</v>
      </c>
      <c r="K8" s="1">
        <f t="shared" si="3"/>
        <v>1.05</v>
      </c>
      <c r="L8" s="1">
        <v>0.1</v>
      </c>
      <c r="M8" s="27">
        <f t="shared" si="4"/>
        <v>0.58274999999999999</v>
      </c>
      <c r="N8">
        <f t="shared" si="5"/>
        <v>5.55</v>
      </c>
      <c r="T8" s="27"/>
      <c r="X8" s="43">
        <f>SUM(X2:X7)</f>
        <v>14.999999999999998</v>
      </c>
      <c r="AA8" s="28">
        <f>SUM(AA2:AA7)</f>
        <v>0.96599999999999997</v>
      </c>
      <c r="AB8">
        <f>SUM(AB2:AB7)</f>
        <v>13.8</v>
      </c>
    </row>
    <row r="9" spans="2:28" x14ac:dyDescent="0.25">
      <c r="C9" s="1">
        <v>4.3499999999999996</v>
      </c>
      <c r="D9" s="1">
        <f t="shared" si="0"/>
        <v>0.7</v>
      </c>
      <c r="E9" s="1">
        <v>0.1</v>
      </c>
      <c r="F9" s="27">
        <f t="shared" si="1"/>
        <v>0.29049999999999992</v>
      </c>
      <c r="G9" s="27">
        <f t="shared" si="2"/>
        <v>4.1499999999999995</v>
      </c>
      <c r="J9" s="1">
        <v>5.75</v>
      </c>
      <c r="K9" s="1">
        <f t="shared" si="3"/>
        <v>1.05</v>
      </c>
      <c r="L9" s="1">
        <v>0.1</v>
      </c>
      <c r="M9" s="27">
        <f t="shared" si="4"/>
        <v>0.58274999999999999</v>
      </c>
      <c r="N9">
        <f t="shared" si="5"/>
        <v>5.55</v>
      </c>
      <c r="T9" s="27"/>
    </row>
    <row r="10" spans="2:28" x14ac:dyDescent="0.25">
      <c r="C10" s="1">
        <v>4.3499999999999996</v>
      </c>
      <c r="D10" s="1">
        <f t="shared" si="0"/>
        <v>0.7</v>
      </c>
      <c r="E10" s="1">
        <v>0.1</v>
      </c>
      <c r="F10" s="27">
        <f t="shared" si="1"/>
        <v>0.29049999999999992</v>
      </c>
      <c r="G10" s="27">
        <f t="shared" si="2"/>
        <v>4.1499999999999995</v>
      </c>
      <c r="J10" s="1">
        <v>5.85</v>
      </c>
      <c r="K10" s="1">
        <f t="shared" si="3"/>
        <v>1.05</v>
      </c>
      <c r="L10" s="1">
        <v>0.1</v>
      </c>
      <c r="M10" s="27">
        <f t="shared" si="4"/>
        <v>0.59325000000000006</v>
      </c>
      <c r="N10">
        <f t="shared" si="5"/>
        <v>5.6499999999999995</v>
      </c>
      <c r="T10" s="27"/>
    </row>
    <row r="11" spans="2:28" x14ac:dyDescent="0.25">
      <c r="C11" s="1">
        <v>4.3499999999999996</v>
      </c>
      <c r="D11" s="1">
        <f t="shared" si="0"/>
        <v>0.7</v>
      </c>
      <c r="E11" s="1">
        <v>0.1</v>
      </c>
      <c r="F11" s="27">
        <f t="shared" si="1"/>
        <v>0.29049999999999992</v>
      </c>
      <c r="G11" s="27">
        <f t="shared" si="2"/>
        <v>4.1499999999999995</v>
      </c>
      <c r="J11" s="1">
        <v>5.85</v>
      </c>
      <c r="K11" s="1">
        <f t="shared" si="3"/>
        <v>1.05</v>
      </c>
      <c r="L11" s="1">
        <v>0.1</v>
      </c>
      <c r="M11" s="27">
        <f t="shared" si="4"/>
        <v>0.59325000000000006</v>
      </c>
      <c r="N11">
        <f t="shared" si="5"/>
        <v>5.6499999999999995</v>
      </c>
      <c r="T11" s="27"/>
    </row>
    <row r="12" spans="2:28" x14ac:dyDescent="0.25">
      <c r="C12" s="1">
        <v>4.3499999999999996</v>
      </c>
      <c r="D12" s="1">
        <f t="shared" si="0"/>
        <v>0.7</v>
      </c>
      <c r="E12" s="1">
        <v>0.1</v>
      </c>
      <c r="F12" s="27">
        <f t="shared" si="1"/>
        <v>0.29049999999999992</v>
      </c>
      <c r="G12" s="27">
        <f t="shared" si="2"/>
        <v>4.1499999999999995</v>
      </c>
      <c r="J12" s="43">
        <f>SUM(J2:J11)</f>
        <v>49.300000000000004</v>
      </c>
      <c r="M12" s="28">
        <f>SUM(M2:M11)</f>
        <v>4.9664999999999999</v>
      </c>
      <c r="N12">
        <f>SUM(N2:N11)</f>
        <v>47.29999999999999</v>
      </c>
      <c r="T12" s="27"/>
    </row>
    <row r="13" spans="2:28" x14ac:dyDescent="0.25">
      <c r="C13" s="1">
        <v>4.3499999999999996</v>
      </c>
      <c r="D13" s="1">
        <f t="shared" si="0"/>
        <v>0.7</v>
      </c>
      <c r="E13" s="1">
        <v>0.1</v>
      </c>
      <c r="F13" s="27">
        <f t="shared" si="1"/>
        <v>0.29049999999999992</v>
      </c>
      <c r="G13" s="27">
        <f t="shared" si="2"/>
        <v>4.1499999999999995</v>
      </c>
      <c r="T13" s="27"/>
    </row>
    <row r="14" spans="2:28" x14ac:dyDescent="0.25">
      <c r="C14" s="1">
        <v>4.3499999999999996</v>
      </c>
      <c r="D14" s="1">
        <f t="shared" si="0"/>
        <v>0.7</v>
      </c>
      <c r="E14" s="1">
        <v>0.1</v>
      </c>
      <c r="F14" s="27">
        <f t="shared" si="1"/>
        <v>0.29049999999999992</v>
      </c>
      <c r="G14" s="27">
        <f t="shared" si="2"/>
        <v>4.1499999999999995</v>
      </c>
      <c r="T14" s="27"/>
    </row>
    <row r="15" spans="2:28" x14ac:dyDescent="0.25">
      <c r="C15" s="1">
        <v>4.3499999999999996</v>
      </c>
      <c r="D15" s="1">
        <f t="shared" si="0"/>
        <v>0.7</v>
      </c>
      <c r="E15" s="1">
        <v>0.1</v>
      </c>
      <c r="F15" s="27">
        <f t="shared" si="1"/>
        <v>0.29049999999999992</v>
      </c>
      <c r="G15" s="27">
        <f t="shared" si="2"/>
        <v>4.1499999999999995</v>
      </c>
      <c r="T15" s="27"/>
    </row>
    <row r="16" spans="2:28" x14ac:dyDescent="0.25">
      <c r="C16" s="1">
        <v>4.3499999999999996</v>
      </c>
      <c r="D16" s="1">
        <f t="shared" si="0"/>
        <v>0.7</v>
      </c>
      <c r="E16" s="1">
        <v>0.1</v>
      </c>
      <c r="F16" s="27">
        <f t="shared" si="1"/>
        <v>0.29049999999999992</v>
      </c>
      <c r="G16" s="27">
        <f t="shared" si="2"/>
        <v>4.1499999999999995</v>
      </c>
      <c r="T16" s="27"/>
    </row>
    <row r="17" spans="3:20" x14ac:dyDescent="0.25">
      <c r="C17" s="1">
        <v>4.3499999999999996</v>
      </c>
      <c r="D17" s="1">
        <f t="shared" si="0"/>
        <v>0.7</v>
      </c>
      <c r="E17" s="1">
        <v>0.1</v>
      </c>
      <c r="F17" s="27">
        <f t="shared" si="1"/>
        <v>0.29049999999999992</v>
      </c>
      <c r="G17" s="27">
        <f t="shared" si="2"/>
        <v>4.1499999999999995</v>
      </c>
      <c r="T17" s="27"/>
    </row>
    <row r="18" spans="3:20" x14ac:dyDescent="0.25">
      <c r="C18" s="1">
        <v>4.3499999999999996</v>
      </c>
      <c r="D18" s="1">
        <f t="shared" si="0"/>
        <v>0.7</v>
      </c>
      <c r="E18" s="1">
        <v>0.1</v>
      </c>
      <c r="F18" s="27">
        <f t="shared" si="1"/>
        <v>0.29049999999999992</v>
      </c>
      <c r="G18" s="27">
        <f t="shared" si="2"/>
        <v>4.1499999999999995</v>
      </c>
      <c r="T18" s="27"/>
    </row>
    <row r="19" spans="3:20" x14ac:dyDescent="0.25">
      <c r="C19" s="1">
        <v>2.85</v>
      </c>
      <c r="D19" s="1">
        <f t="shared" si="0"/>
        <v>0.7</v>
      </c>
      <c r="E19" s="1">
        <v>0.1</v>
      </c>
      <c r="F19" s="27">
        <f t="shared" si="1"/>
        <v>0.1855</v>
      </c>
      <c r="G19" s="27">
        <f t="shared" si="2"/>
        <v>2.65</v>
      </c>
      <c r="T19" s="27"/>
    </row>
    <row r="20" spans="3:20" x14ac:dyDescent="0.25">
      <c r="C20" s="1">
        <v>2.15</v>
      </c>
      <c r="D20" s="1">
        <f t="shared" si="0"/>
        <v>0.7</v>
      </c>
      <c r="E20" s="1">
        <v>0.1</v>
      </c>
      <c r="F20" s="27">
        <f t="shared" si="1"/>
        <v>0.13650000000000001</v>
      </c>
      <c r="G20" s="27">
        <f t="shared" si="2"/>
        <v>1.95</v>
      </c>
      <c r="T20" s="27"/>
    </row>
    <row r="21" spans="3:20" x14ac:dyDescent="0.25">
      <c r="C21" s="1">
        <v>4.3499999999999996</v>
      </c>
      <c r="D21" s="1">
        <f t="shared" si="0"/>
        <v>0.7</v>
      </c>
      <c r="E21" s="1">
        <v>0.1</v>
      </c>
      <c r="F21" s="27">
        <f t="shared" si="1"/>
        <v>0.29049999999999992</v>
      </c>
      <c r="G21" s="27">
        <f t="shared" si="2"/>
        <v>4.1499999999999995</v>
      </c>
      <c r="T21" s="27"/>
    </row>
    <row r="22" spans="3:20" x14ac:dyDescent="0.25">
      <c r="C22" s="1">
        <v>4.3499999999999996</v>
      </c>
      <c r="D22" s="1">
        <f t="shared" si="0"/>
        <v>0.7</v>
      </c>
      <c r="E22" s="1">
        <v>0.1</v>
      </c>
      <c r="F22" s="27">
        <f t="shared" si="1"/>
        <v>0.29049999999999992</v>
      </c>
      <c r="G22" s="27">
        <f t="shared" si="2"/>
        <v>4.1499999999999995</v>
      </c>
    </row>
    <row r="23" spans="3:20" x14ac:dyDescent="0.25">
      <c r="C23" s="1">
        <v>4.3499999999999996</v>
      </c>
      <c r="D23" s="1">
        <f t="shared" si="0"/>
        <v>0.7</v>
      </c>
      <c r="E23" s="1">
        <v>0.1</v>
      </c>
      <c r="F23" s="27">
        <f t="shared" si="1"/>
        <v>0.29049999999999992</v>
      </c>
      <c r="G23" s="27">
        <f t="shared" si="2"/>
        <v>4.1499999999999995</v>
      </c>
    </row>
    <row r="24" spans="3:20" x14ac:dyDescent="0.25">
      <c r="C24" s="1">
        <v>4.3499999999999996</v>
      </c>
      <c r="D24" s="1">
        <f t="shared" si="0"/>
        <v>0.7</v>
      </c>
      <c r="E24" s="1">
        <v>0.1</v>
      </c>
      <c r="F24" s="27">
        <f t="shared" si="1"/>
        <v>0.29049999999999992</v>
      </c>
      <c r="G24" s="27">
        <f t="shared" si="2"/>
        <v>4.1499999999999995</v>
      </c>
    </row>
    <row r="25" spans="3:20" x14ac:dyDescent="0.25">
      <c r="C25" s="1">
        <v>4.3499999999999996</v>
      </c>
      <c r="D25" s="1">
        <f t="shared" si="0"/>
        <v>0.7</v>
      </c>
      <c r="E25" s="1">
        <v>0.1</v>
      </c>
      <c r="F25" s="27">
        <f t="shared" si="1"/>
        <v>0.29049999999999992</v>
      </c>
      <c r="G25" s="27">
        <f t="shared" si="2"/>
        <v>4.1499999999999995</v>
      </c>
    </row>
    <row r="26" spans="3:20" x14ac:dyDescent="0.25">
      <c r="C26" s="1">
        <v>2.15</v>
      </c>
      <c r="D26" s="1">
        <f t="shared" si="0"/>
        <v>0.7</v>
      </c>
      <c r="E26" s="1">
        <v>0.1</v>
      </c>
      <c r="F26" s="27">
        <f t="shared" si="1"/>
        <v>0.13650000000000001</v>
      </c>
      <c r="G26" s="27">
        <f t="shared" si="2"/>
        <v>1.95</v>
      </c>
    </row>
    <row r="27" spans="3:20" x14ac:dyDescent="0.25">
      <c r="C27" s="1">
        <v>2.85</v>
      </c>
      <c r="D27" s="1">
        <f t="shared" si="0"/>
        <v>0.7</v>
      </c>
      <c r="E27" s="1">
        <v>0.1</v>
      </c>
      <c r="F27" s="27">
        <f t="shared" si="1"/>
        <v>0.1855</v>
      </c>
      <c r="G27" s="27">
        <f t="shared" si="2"/>
        <v>2.65</v>
      </c>
    </row>
    <row r="28" spans="3:20" x14ac:dyDescent="0.25">
      <c r="C28" s="1">
        <v>5.75</v>
      </c>
      <c r="D28" s="1">
        <f t="shared" si="0"/>
        <v>0.7</v>
      </c>
      <c r="E28" s="1">
        <v>0.1</v>
      </c>
      <c r="F28" s="27">
        <f t="shared" si="1"/>
        <v>0.38850000000000001</v>
      </c>
      <c r="G28" s="27">
        <f t="shared" si="2"/>
        <v>5.55</v>
      </c>
    </row>
    <row r="29" spans="3:20" x14ac:dyDescent="0.25">
      <c r="C29" s="1">
        <v>4.3499999999999996</v>
      </c>
      <c r="D29" s="1">
        <f t="shared" si="0"/>
        <v>0.7</v>
      </c>
      <c r="E29" s="1">
        <v>0.1</v>
      </c>
      <c r="F29" s="27">
        <f t="shared" si="1"/>
        <v>0.29049999999999992</v>
      </c>
      <c r="G29" s="27">
        <f t="shared" si="2"/>
        <v>4.1499999999999995</v>
      </c>
    </row>
    <row r="30" spans="3:20" x14ac:dyDescent="0.25">
      <c r="C30" s="1">
        <v>4.3499999999999996</v>
      </c>
      <c r="D30" s="1">
        <f t="shared" si="0"/>
        <v>0.7</v>
      </c>
      <c r="E30" s="1">
        <v>0.1</v>
      </c>
      <c r="F30" s="27">
        <f t="shared" si="1"/>
        <v>0.29049999999999992</v>
      </c>
      <c r="G30" s="27">
        <f t="shared" si="2"/>
        <v>4.1499999999999995</v>
      </c>
    </row>
    <row r="31" spans="3:20" x14ac:dyDescent="0.25">
      <c r="C31" s="1">
        <v>4.3499999999999996</v>
      </c>
      <c r="D31" s="1">
        <f t="shared" si="0"/>
        <v>0.7</v>
      </c>
      <c r="E31" s="1">
        <v>0.1</v>
      </c>
      <c r="F31" s="27">
        <f t="shared" si="1"/>
        <v>0.29049999999999992</v>
      </c>
      <c r="G31" s="27">
        <f t="shared" si="2"/>
        <v>4.1499999999999995</v>
      </c>
    </row>
    <row r="32" spans="3:20" x14ac:dyDescent="0.25">
      <c r="C32" s="1">
        <v>2.85</v>
      </c>
      <c r="D32" s="1">
        <f t="shared" si="0"/>
        <v>0.7</v>
      </c>
      <c r="E32" s="1">
        <v>0.1</v>
      </c>
      <c r="F32" s="27">
        <f t="shared" si="1"/>
        <v>0.1855</v>
      </c>
      <c r="G32" s="27">
        <f t="shared" si="2"/>
        <v>2.65</v>
      </c>
    </row>
    <row r="33" spans="3:7" x14ac:dyDescent="0.25">
      <c r="C33" s="1">
        <v>5.9749999999999996</v>
      </c>
      <c r="D33" s="1">
        <f t="shared" si="0"/>
        <v>0.7</v>
      </c>
      <c r="E33" s="1">
        <v>0.1</v>
      </c>
      <c r="F33" s="27">
        <f t="shared" si="1"/>
        <v>0.40425</v>
      </c>
      <c r="G33" s="27">
        <f t="shared" si="2"/>
        <v>5.7749999999999995</v>
      </c>
    </row>
    <row r="34" spans="3:7" x14ac:dyDescent="0.25">
      <c r="C34" s="1">
        <v>3.7749999999999999</v>
      </c>
      <c r="D34" s="1">
        <f t="shared" si="0"/>
        <v>0.7</v>
      </c>
      <c r="E34" s="1">
        <v>0.1</v>
      </c>
      <c r="F34" s="27">
        <f t="shared" si="1"/>
        <v>0.25024999999999997</v>
      </c>
      <c r="G34" s="27">
        <f t="shared" si="2"/>
        <v>3.5749999999999997</v>
      </c>
    </row>
    <row r="35" spans="3:7" x14ac:dyDescent="0.25">
      <c r="C35" s="1">
        <v>4.3499999999999996</v>
      </c>
      <c r="D35" s="1">
        <f t="shared" si="0"/>
        <v>0.7</v>
      </c>
      <c r="E35" s="1">
        <v>0.1</v>
      </c>
      <c r="F35" s="27">
        <f t="shared" si="1"/>
        <v>0.29049999999999992</v>
      </c>
      <c r="G35" s="27">
        <f t="shared" si="2"/>
        <v>4.1499999999999995</v>
      </c>
    </row>
    <row r="36" spans="3:7" x14ac:dyDescent="0.25">
      <c r="C36" s="1">
        <v>4.3499999999999996</v>
      </c>
      <c r="D36" s="1">
        <f t="shared" si="0"/>
        <v>0.7</v>
      </c>
      <c r="E36" s="1">
        <v>0.1</v>
      </c>
      <c r="F36" s="27">
        <f t="shared" si="1"/>
        <v>0.29049999999999992</v>
      </c>
      <c r="G36" s="27">
        <f t="shared" si="2"/>
        <v>4.1499999999999995</v>
      </c>
    </row>
    <row r="37" spans="3:7" x14ac:dyDescent="0.25">
      <c r="C37" s="1">
        <v>4.3499999999999996</v>
      </c>
      <c r="D37" s="1">
        <f t="shared" si="0"/>
        <v>0.7</v>
      </c>
      <c r="E37" s="1">
        <v>0.1</v>
      </c>
      <c r="F37" s="27">
        <f t="shared" si="1"/>
        <v>0.29049999999999992</v>
      </c>
      <c r="G37" s="27">
        <f t="shared" si="2"/>
        <v>4.1499999999999995</v>
      </c>
    </row>
    <row r="38" spans="3:7" x14ac:dyDescent="0.25">
      <c r="C38" s="1">
        <v>4.3499999999999996</v>
      </c>
      <c r="D38" s="1">
        <f t="shared" si="0"/>
        <v>0.7</v>
      </c>
      <c r="E38" s="1">
        <v>0.1</v>
      </c>
      <c r="F38" s="27">
        <f t="shared" si="1"/>
        <v>0.29049999999999992</v>
      </c>
      <c r="G38" s="27">
        <f t="shared" si="2"/>
        <v>4.1499999999999995</v>
      </c>
    </row>
    <row r="39" spans="3:7" x14ac:dyDescent="0.25">
      <c r="C39" s="1">
        <v>4.3499999999999996</v>
      </c>
      <c r="D39" s="1">
        <f t="shared" si="0"/>
        <v>0.7</v>
      </c>
      <c r="E39" s="1">
        <v>0.1</v>
      </c>
      <c r="F39" s="27">
        <f t="shared" si="1"/>
        <v>0.29049999999999992</v>
      </c>
      <c r="G39" s="27">
        <f t="shared" si="2"/>
        <v>4.1499999999999995</v>
      </c>
    </row>
    <row r="40" spans="3:7" x14ac:dyDescent="0.25">
      <c r="C40" s="1">
        <v>4.3499999999999996</v>
      </c>
      <c r="D40" s="1">
        <f t="shared" si="0"/>
        <v>0.7</v>
      </c>
      <c r="E40" s="1">
        <v>0.1</v>
      </c>
      <c r="F40" s="27">
        <f t="shared" si="1"/>
        <v>0.29049999999999992</v>
      </c>
      <c r="G40" s="27">
        <f t="shared" si="2"/>
        <v>4.1499999999999995</v>
      </c>
    </row>
    <row r="41" spans="3:7" x14ac:dyDescent="0.25">
      <c r="C41" s="1">
        <v>2.85</v>
      </c>
      <c r="D41" s="1">
        <f t="shared" si="0"/>
        <v>0.7</v>
      </c>
      <c r="E41" s="1">
        <v>0.1</v>
      </c>
      <c r="F41" s="27">
        <f t="shared" si="1"/>
        <v>0.1855</v>
      </c>
      <c r="G41" s="27">
        <f t="shared" si="2"/>
        <v>2.65</v>
      </c>
    </row>
    <row r="42" spans="3:7" x14ac:dyDescent="0.25">
      <c r="C42" s="1">
        <v>5.75</v>
      </c>
      <c r="D42" s="1">
        <f t="shared" si="0"/>
        <v>0.7</v>
      </c>
      <c r="E42" s="1">
        <v>0.1</v>
      </c>
      <c r="F42" s="27">
        <f t="shared" si="1"/>
        <v>0.38850000000000001</v>
      </c>
      <c r="G42" s="27">
        <f t="shared" si="2"/>
        <v>5.55</v>
      </c>
    </row>
    <row r="43" spans="3:7" x14ac:dyDescent="0.25">
      <c r="C43" s="1">
        <v>5.75</v>
      </c>
      <c r="D43" s="1">
        <f t="shared" si="0"/>
        <v>0.7</v>
      </c>
      <c r="E43" s="1">
        <v>0.1</v>
      </c>
      <c r="F43" s="27">
        <f t="shared" si="1"/>
        <v>0.38850000000000001</v>
      </c>
      <c r="G43" s="27">
        <f t="shared" si="2"/>
        <v>5.55</v>
      </c>
    </row>
    <row r="44" spans="3:7" x14ac:dyDescent="0.25">
      <c r="C44" s="1">
        <v>2.85</v>
      </c>
      <c r="D44" s="1">
        <f t="shared" si="0"/>
        <v>0.7</v>
      </c>
      <c r="E44" s="1">
        <v>0.1</v>
      </c>
      <c r="F44" s="27">
        <f t="shared" si="1"/>
        <v>0.1855</v>
      </c>
      <c r="G44" s="27">
        <f t="shared" si="2"/>
        <v>2.65</v>
      </c>
    </row>
    <row r="45" spans="3:7" x14ac:dyDescent="0.25">
      <c r="C45" s="1">
        <v>4.4749999999999996</v>
      </c>
      <c r="D45" s="1">
        <f t="shared" si="0"/>
        <v>0.7</v>
      </c>
      <c r="E45" s="1">
        <v>0.1</v>
      </c>
      <c r="F45" s="27">
        <f t="shared" si="1"/>
        <v>0.29924999999999996</v>
      </c>
      <c r="G45" s="27">
        <f t="shared" si="2"/>
        <v>4.2749999999999995</v>
      </c>
    </row>
    <row r="46" spans="3:7" x14ac:dyDescent="0.25">
      <c r="C46" s="1">
        <v>1.575</v>
      </c>
      <c r="D46" s="1">
        <f t="shared" si="0"/>
        <v>0.7</v>
      </c>
      <c r="E46" s="1">
        <v>0.1</v>
      </c>
      <c r="F46" s="27">
        <f t="shared" si="1"/>
        <v>9.6250000000000002E-2</v>
      </c>
      <c r="G46" s="27">
        <f t="shared" si="2"/>
        <v>1.375</v>
      </c>
    </row>
    <row r="47" spans="3:7" x14ac:dyDescent="0.25">
      <c r="C47" s="1">
        <v>4.3499999999999996</v>
      </c>
      <c r="D47" s="1">
        <f t="shared" si="0"/>
        <v>0.7</v>
      </c>
      <c r="E47" s="1">
        <v>0.1</v>
      </c>
      <c r="F47" s="27">
        <f t="shared" si="1"/>
        <v>0.29049999999999992</v>
      </c>
      <c r="G47" s="27">
        <f t="shared" si="2"/>
        <v>4.1499999999999995</v>
      </c>
    </row>
    <row r="48" spans="3:7" x14ac:dyDescent="0.25">
      <c r="C48" s="1">
        <v>4.3499999999999996</v>
      </c>
      <c r="D48" s="1">
        <f t="shared" si="0"/>
        <v>0.7</v>
      </c>
      <c r="E48" s="1">
        <v>0.1</v>
      </c>
      <c r="F48" s="27">
        <f t="shared" si="1"/>
        <v>0.29049999999999992</v>
      </c>
      <c r="G48" s="27">
        <f t="shared" si="2"/>
        <v>4.1499999999999995</v>
      </c>
    </row>
    <row r="49" spans="3:7" x14ac:dyDescent="0.25">
      <c r="C49" s="1">
        <v>4.3499999999999996</v>
      </c>
      <c r="D49" s="1">
        <f t="shared" si="0"/>
        <v>0.7</v>
      </c>
      <c r="E49" s="1">
        <v>0.1</v>
      </c>
      <c r="F49" s="27">
        <f t="shared" si="1"/>
        <v>0.29049999999999992</v>
      </c>
      <c r="G49" s="27">
        <f t="shared" si="2"/>
        <v>4.1499999999999995</v>
      </c>
    </row>
    <row r="50" spans="3:7" x14ac:dyDescent="0.25">
      <c r="C50" s="1">
        <v>4.3499999999999996</v>
      </c>
      <c r="D50" s="1">
        <f t="shared" si="0"/>
        <v>0.7</v>
      </c>
      <c r="E50" s="1">
        <v>0.1</v>
      </c>
      <c r="F50" s="27">
        <f t="shared" si="1"/>
        <v>0.29049999999999992</v>
      </c>
      <c r="G50" s="27">
        <f t="shared" si="2"/>
        <v>4.1499999999999995</v>
      </c>
    </row>
    <row r="51" spans="3:7" x14ac:dyDescent="0.25">
      <c r="C51" s="1">
        <v>2.85</v>
      </c>
      <c r="D51" s="1">
        <f t="shared" si="0"/>
        <v>0.7</v>
      </c>
      <c r="E51" s="1">
        <v>0.1</v>
      </c>
      <c r="F51" s="27">
        <f t="shared" si="1"/>
        <v>0.1855</v>
      </c>
      <c r="G51" s="27">
        <f t="shared" si="2"/>
        <v>2.65</v>
      </c>
    </row>
    <row r="52" spans="3:7" x14ac:dyDescent="0.25">
      <c r="C52" s="1">
        <v>4.3499999999999996</v>
      </c>
      <c r="D52" s="1">
        <f t="shared" si="0"/>
        <v>0.7</v>
      </c>
      <c r="E52" s="1">
        <v>0.1</v>
      </c>
      <c r="F52" s="27">
        <f t="shared" si="1"/>
        <v>0.29049999999999992</v>
      </c>
      <c r="G52" s="27">
        <f t="shared" si="2"/>
        <v>4.1499999999999995</v>
      </c>
    </row>
    <row r="53" spans="3:7" x14ac:dyDescent="0.25">
      <c r="C53" s="1">
        <v>4.3499999999999996</v>
      </c>
      <c r="D53" s="1">
        <f t="shared" si="0"/>
        <v>0.7</v>
      </c>
      <c r="E53" s="1">
        <v>0.1</v>
      </c>
      <c r="F53" s="27">
        <f t="shared" si="1"/>
        <v>0.29049999999999992</v>
      </c>
      <c r="G53" s="27">
        <f t="shared" si="2"/>
        <v>4.1499999999999995</v>
      </c>
    </row>
    <row r="54" spans="3:7" x14ac:dyDescent="0.25">
      <c r="C54" s="1">
        <v>4.3499999999999996</v>
      </c>
      <c r="D54" s="1">
        <f t="shared" si="0"/>
        <v>0.7</v>
      </c>
      <c r="E54" s="1">
        <v>0.1</v>
      </c>
      <c r="F54" s="27">
        <f t="shared" si="1"/>
        <v>0.29049999999999992</v>
      </c>
      <c r="G54" s="27">
        <f t="shared" si="2"/>
        <v>4.1499999999999995</v>
      </c>
    </row>
    <row r="55" spans="3:7" x14ac:dyDescent="0.25">
      <c r="C55" s="1">
        <v>5.75</v>
      </c>
      <c r="D55" s="1">
        <f t="shared" si="0"/>
        <v>0.7</v>
      </c>
      <c r="E55" s="1">
        <v>0.1</v>
      </c>
      <c r="F55" s="27">
        <f t="shared" si="1"/>
        <v>0.38850000000000001</v>
      </c>
      <c r="G55" s="27">
        <f t="shared" si="2"/>
        <v>5.55</v>
      </c>
    </row>
    <row r="56" spans="3:7" x14ac:dyDescent="0.25">
      <c r="C56" s="1">
        <v>5.75</v>
      </c>
      <c r="D56" s="1">
        <f t="shared" si="0"/>
        <v>0.7</v>
      </c>
      <c r="E56" s="1">
        <v>0.1</v>
      </c>
      <c r="F56" s="27">
        <f t="shared" si="1"/>
        <v>0.38850000000000001</v>
      </c>
      <c r="G56" s="27">
        <f t="shared" si="2"/>
        <v>5.55</v>
      </c>
    </row>
    <row r="57" spans="3:7" x14ac:dyDescent="0.25">
      <c r="C57" s="1">
        <v>2.85</v>
      </c>
      <c r="D57" s="1">
        <f t="shared" si="0"/>
        <v>0.7</v>
      </c>
      <c r="E57" s="1">
        <v>0.1</v>
      </c>
      <c r="F57" s="27">
        <f t="shared" si="1"/>
        <v>0.1855</v>
      </c>
      <c r="G57" s="27">
        <f t="shared" si="2"/>
        <v>2.65</v>
      </c>
    </row>
    <row r="58" spans="3:7" x14ac:dyDescent="0.25">
      <c r="C58" s="1">
        <v>2.85</v>
      </c>
      <c r="D58" s="1">
        <f t="shared" si="0"/>
        <v>0.7</v>
      </c>
      <c r="E58" s="1">
        <v>0.1</v>
      </c>
      <c r="F58" s="27">
        <f t="shared" si="1"/>
        <v>0.1855</v>
      </c>
      <c r="G58" s="27">
        <f t="shared" si="2"/>
        <v>2.65</v>
      </c>
    </row>
    <row r="59" spans="3:7" x14ac:dyDescent="0.25">
      <c r="C59" s="1">
        <v>4.3499999999999996</v>
      </c>
      <c r="D59" s="1">
        <f t="shared" si="0"/>
        <v>0.7</v>
      </c>
      <c r="E59" s="1">
        <v>0.1</v>
      </c>
      <c r="F59" s="27">
        <f t="shared" si="1"/>
        <v>0.29049999999999992</v>
      </c>
      <c r="G59" s="27">
        <f t="shared" si="2"/>
        <v>4.1499999999999995</v>
      </c>
    </row>
    <row r="60" spans="3:7" x14ac:dyDescent="0.25">
      <c r="C60" s="1">
        <v>4.3499999999999996</v>
      </c>
      <c r="D60" s="1">
        <f t="shared" si="0"/>
        <v>0.7</v>
      </c>
      <c r="E60" s="1">
        <v>0.1</v>
      </c>
      <c r="F60" s="27">
        <f t="shared" si="1"/>
        <v>0.29049999999999992</v>
      </c>
      <c r="G60" s="27">
        <f t="shared" si="2"/>
        <v>4.1499999999999995</v>
      </c>
    </row>
    <row r="61" spans="3:7" x14ac:dyDescent="0.25">
      <c r="C61" s="1">
        <v>4.3499999999999996</v>
      </c>
      <c r="D61" s="1">
        <f t="shared" si="0"/>
        <v>0.7</v>
      </c>
      <c r="E61" s="1">
        <v>0.1</v>
      </c>
      <c r="F61" s="27">
        <f t="shared" si="1"/>
        <v>0.29049999999999992</v>
      </c>
      <c r="G61" s="27">
        <f t="shared" si="2"/>
        <v>4.1499999999999995</v>
      </c>
    </row>
    <row r="62" spans="3:7" x14ac:dyDescent="0.25">
      <c r="C62" s="1">
        <v>4.3499999999999996</v>
      </c>
      <c r="D62" s="1">
        <f t="shared" si="0"/>
        <v>0.7</v>
      </c>
      <c r="E62" s="1">
        <v>0.1</v>
      </c>
      <c r="F62" s="27">
        <f t="shared" si="1"/>
        <v>0.29049999999999992</v>
      </c>
      <c r="G62" s="27">
        <f t="shared" si="2"/>
        <v>4.1499999999999995</v>
      </c>
    </row>
    <row r="63" spans="3:7" x14ac:dyDescent="0.25">
      <c r="C63" s="1">
        <v>2.585</v>
      </c>
      <c r="D63" s="1">
        <f t="shared" si="0"/>
        <v>0.7</v>
      </c>
      <c r="E63" s="1">
        <v>0.1</v>
      </c>
      <c r="F63" s="27">
        <f t="shared" si="1"/>
        <v>0.16694999999999999</v>
      </c>
      <c r="G63" s="27">
        <f t="shared" si="2"/>
        <v>2.3849999999999998</v>
      </c>
    </row>
    <row r="64" spans="3:7" x14ac:dyDescent="0.25">
      <c r="C64" s="52">
        <f>3.775</f>
        <v>3.7749999999999999</v>
      </c>
      <c r="D64" s="1">
        <f t="shared" si="0"/>
        <v>0.7</v>
      </c>
      <c r="E64" s="1">
        <v>0.1</v>
      </c>
      <c r="F64" s="27">
        <f t="shared" si="1"/>
        <v>0.25024999999999997</v>
      </c>
      <c r="G64" s="27">
        <f t="shared" si="2"/>
        <v>3.5749999999999997</v>
      </c>
    </row>
    <row r="65" spans="3:7" x14ac:dyDescent="0.25">
      <c r="C65" s="1">
        <v>4.3499999999999996</v>
      </c>
      <c r="D65" s="1">
        <f t="shared" si="0"/>
        <v>0.7</v>
      </c>
      <c r="E65" s="1">
        <v>0.1</v>
      </c>
      <c r="F65" s="27">
        <f t="shared" si="1"/>
        <v>0.29049999999999992</v>
      </c>
      <c r="G65" s="27">
        <f t="shared" si="2"/>
        <v>4.1499999999999995</v>
      </c>
    </row>
    <row r="66" spans="3:7" x14ac:dyDescent="0.25">
      <c r="C66" s="1">
        <v>4.3499999999999996</v>
      </c>
      <c r="D66" s="1">
        <f t="shared" si="0"/>
        <v>0.7</v>
      </c>
      <c r="E66" s="1">
        <v>0.1</v>
      </c>
      <c r="F66" s="27">
        <f t="shared" si="1"/>
        <v>0.29049999999999992</v>
      </c>
      <c r="G66" s="27">
        <f t="shared" si="2"/>
        <v>4.1499999999999995</v>
      </c>
    </row>
    <row r="67" spans="3:7" x14ac:dyDescent="0.25">
      <c r="C67" s="1">
        <v>4.3499999999999996</v>
      </c>
      <c r="D67" s="1">
        <f t="shared" ref="D67:D83" si="9">0.5+0.1+0.1</f>
        <v>0.7</v>
      </c>
      <c r="E67" s="1">
        <v>0.1</v>
      </c>
      <c r="F67" s="27">
        <f t="shared" ref="F67:F83" si="10">G67*D67*E67</f>
        <v>0.29049999999999992</v>
      </c>
      <c r="G67" s="27">
        <f t="shared" ref="G67:G83" si="11">C67-0.2</f>
        <v>4.1499999999999995</v>
      </c>
    </row>
    <row r="68" spans="3:7" x14ac:dyDescent="0.25">
      <c r="C68" s="1">
        <v>4.3499999999999996</v>
      </c>
      <c r="D68" s="1">
        <f t="shared" si="9"/>
        <v>0.7</v>
      </c>
      <c r="E68" s="1">
        <v>0.1</v>
      </c>
      <c r="F68" s="27">
        <f t="shared" si="10"/>
        <v>0.29049999999999992</v>
      </c>
      <c r="G68" s="27">
        <f t="shared" si="11"/>
        <v>4.1499999999999995</v>
      </c>
    </row>
    <row r="69" spans="3:7" x14ac:dyDescent="0.25">
      <c r="C69" s="1">
        <v>4.3499999999999996</v>
      </c>
      <c r="D69" s="1">
        <f t="shared" si="9"/>
        <v>0.7</v>
      </c>
      <c r="E69" s="1">
        <v>0.1</v>
      </c>
      <c r="F69" s="27">
        <f t="shared" si="10"/>
        <v>0.29049999999999992</v>
      </c>
      <c r="G69" s="27">
        <f t="shared" si="11"/>
        <v>4.1499999999999995</v>
      </c>
    </row>
    <row r="70" spans="3:7" x14ac:dyDescent="0.25">
      <c r="C70" s="1">
        <v>2.15</v>
      </c>
      <c r="D70" s="1">
        <f t="shared" si="9"/>
        <v>0.7</v>
      </c>
      <c r="E70" s="1">
        <v>0.1</v>
      </c>
      <c r="F70" s="27">
        <f t="shared" si="10"/>
        <v>0.13650000000000001</v>
      </c>
      <c r="G70" s="27">
        <f t="shared" si="11"/>
        <v>1.95</v>
      </c>
    </row>
    <row r="71" spans="3:7" x14ac:dyDescent="0.25">
      <c r="C71" s="1">
        <v>4.3499999999999996</v>
      </c>
      <c r="D71" s="1">
        <f t="shared" si="9"/>
        <v>0.7</v>
      </c>
      <c r="E71" s="1">
        <v>0.1</v>
      </c>
      <c r="F71" s="27">
        <f t="shared" si="10"/>
        <v>0.29049999999999992</v>
      </c>
      <c r="G71" s="27">
        <f t="shared" si="11"/>
        <v>4.1499999999999995</v>
      </c>
    </row>
    <row r="72" spans="3:7" x14ac:dyDescent="0.25">
      <c r="C72" s="1">
        <v>4.3499999999999996</v>
      </c>
      <c r="D72" s="1">
        <f t="shared" si="9"/>
        <v>0.7</v>
      </c>
      <c r="E72" s="1">
        <v>0.1</v>
      </c>
      <c r="F72" s="27">
        <f t="shared" si="10"/>
        <v>0.29049999999999992</v>
      </c>
      <c r="G72" s="27">
        <f t="shared" si="11"/>
        <v>4.1499999999999995</v>
      </c>
    </row>
    <row r="73" spans="3:7" x14ac:dyDescent="0.25">
      <c r="C73" s="1">
        <v>4.3499999999999996</v>
      </c>
      <c r="D73" s="1">
        <f t="shared" si="9"/>
        <v>0.7</v>
      </c>
      <c r="E73" s="1">
        <v>0.1</v>
      </c>
      <c r="F73" s="27">
        <f t="shared" si="10"/>
        <v>0.29049999999999992</v>
      </c>
      <c r="G73" s="27">
        <f t="shared" si="11"/>
        <v>4.1499999999999995</v>
      </c>
    </row>
    <row r="74" spans="3:7" x14ac:dyDescent="0.25">
      <c r="C74" s="1">
        <v>4.3499999999999996</v>
      </c>
      <c r="D74" s="1">
        <f t="shared" si="9"/>
        <v>0.7</v>
      </c>
      <c r="E74" s="1">
        <v>0.1</v>
      </c>
      <c r="F74" s="27">
        <f t="shared" si="10"/>
        <v>0.29049999999999992</v>
      </c>
      <c r="G74" s="27">
        <f t="shared" si="11"/>
        <v>4.1499999999999995</v>
      </c>
    </row>
    <row r="75" spans="3:7" x14ac:dyDescent="0.25">
      <c r="C75" s="1">
        <v>2.15</v>
      </c>
      <c r="D75" s="1">
        <f t="shared" si="9"/>
        <v>0.7</v>
      </c>
      <c r="E75" s="1">
        <v>0.1</v>
      </c>
      <c r="F75" s="27">
        <f t="shared" si="10"/>
        <v>0.13650000000000001</v>
      </c>
      <c r="G75" s="27">
        <f t="shared" si="11"/>
        <v>1.95</v>
      </c>
    </row>
    <row r="76" spans="3:7" x14ac:dyDescent="0.25">
      <c r="C76" s="1">
        <v>3.6749999999999998</v>
      </c>
      <c r="D76" s="1">
        <f t="shared" si="9"/>
        <v>0.7</v>
      </c>
      <c r="E76" s="1">
        <v>0.1</v>
      </c>
      <c r="F76" s="27">
        <f t="shared" si="10"/>
        <v>0.24324999999999997</v>
      </c>
      <c r="G76" s="27">
        <f t="shared" si="11"/>
        <v>3.4749999999999996</v>
      </c>
    </row>
    <row r="77" spans="3:7" x14ac:dyDescent="0.25">
      <c r="C77" s="1">
        <v>4.3499999999999996</v>
      </c>
      <c r="D77" s="1">
        <f t="shared" si="9"/>
        <v>0.7</v>
      </c>
      <c r="E77" s="1">
        <v>0.1</v>
      </c>
      <c r="F77" s="27">
        <f t="shared" si="10"/>
        <v>0.29049999999999992</v>
      </c>
      <c r="G77" s="27">
        <f t="shared" si="11"/>
        <v>4.1499999999999995</v>
      </c>
    </row>
    <row r="78" spans="3:7" x14ac:dyDescent="0.25">
      <c r="C78" s="1">
        <v>4.3499999999999996</v>
      </c>
      <c r="D78" s="1">
        <f t="shared" si="9"/>
        <v>0.7</v>
      </c>
      <c r="E78" s="1">
        <v>0.1</v>
      </c>
      <c r="F78" s="27">
        <f t="shared" si="10"/>
        <v>0.29049999999999992</v>
      </c>
      <c r="G78" s="27">
        <f t="shared" si="11"/>
        <v>4.1499999999999995</v>
      </c>
    </row>
    <row r="79" spans="3:7" x14ac:dyDescent="0.25">
      <c r="C79" s="1">
        <v>4.3499999999999996</v>
      </c>
      <c r="D79" s="1">
        <f t="shared" si="9"/>
        <v>0.7</v>
      </c>
      <c r="E79" s="1">
        <v>0.1</v>
      </c>
      <c r="F79" s="27">
        <f t="shared" si="10"/>
        <v>0.29049999999999992</v>
      </c>
      <c r="G79" s="27">
        <f t="shared" si="11"/>
        <v>4.1499999999999995</v>
      </c>
    </row>
    <row r="80" spans="3:7" x14ac:dyDescent="0.25">
      <c r="C80" s="1">
        <v>4.3499999999999996</v>
      </c>
      <c r="D80" s="1">
        <f t="shared" si="9"/>
        <v>0.7</v>
      </c>
      <c r="E80" s="1">
        <v>0.1</v>
      </c>
      <c r="F80" s="27">
        <f t="shared" si="10"/>
        <v>0.29049999999999992</v>
      </c>
      <c r="G80" s="27">
        <f t="shared" si="11"/>
        <v>4.1499999999999995</v>
      </c>
    </row>
    <row r="81" spans="1:8" x14ac:dyDescent="0.25">
      <c r="C81" s="1">
        <v>4.3499999999999996</v>
      </c>
      <c r="D81" s="1">
        <f t="shared" si="9"/>
        <v>0.7</v>
      </c>
      <c r="E81" s="1">
        <v>0.1</v>
      </c>
      <c r="F81" s="27">
        <f t="shared" si="10"/>
        <v>0.29049999999999992</v>
      </c>
      <c r="G81" s="27">
        <f t="shared" si="11"/>
        <v>4.1499999999999995</v>
      </c>
    </row>
    <row r="82" spans="1:8" x14ac:dyDescent="0.25">
      <c r="C82" s="1">
        <v>1.575</v>
      </c>
      <c r="D82" s="1">
        <f t="shared" si="9"/>
        <v>0.7</v>
      </c>
      <c r="E82" s="1">
        <v>0.1</v>
      </c>
      <c r="F82" s="27">
        <f t="shared" si="10"/>
        <v>9.6250000000000002E-2</v>
      </c>
      <c r="G82" s="27">
        <f t="shared" si="11"/>
        <v>1.375</v>
      </c>
    </row>
    <row r="83" spans="1:8" x14ac:dyDescent="0.25">
      <c r="C83" s="1">
        <v>4.3499999999999996</v>
      </c>
      <c r="D83" s="1">
        <f t="shared" si="9"/>
        <v>0.7</v>
      </c>
      <c r="E83" s="1">
        <v>0.1</v>
      </c>
      <c r="F83" s="27">
        <f t="shared" si="10"/>
        <v>0.29049999999999992</v>
      </c>
      <c r="G83" s="27">
        <f t="shared" si="11"/>
        <v>4.1499999999999995</v>
      </c>
    </row>
    <row r="84" spans="1:8" x14ac:dyDescent="0.25">
      <c r="C84" s="53">
        <f>SUM(C2:C83)</f>
        <v>334.96000000000009</v>
      </c>
      <c r="F84" s="28">
        <f>SUM(F2:F83)</f>
        <v>22.299200000000024</v>
      </c>
      <c r="G84" s="28">
        <f>SUM(G2:G83)</f>
        <v>318.55999999999995</v>
      </c>
      <c r="H84" s="28"/>
    </row>
    <row r="86" spans="1:8" x14ac:dyDescent="0.25">
      <c r="A86" s="62">
        <f>F84+M12+T4+AA8</f>
        <v>28.895700000000026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opLeftCell="A67" zoomScale="85" zoomScaleNormal="85" workbookViewId="0">
      <selection activeCell="D95" sqref="D95"/>
    </sheetView>
  </sheetViews>
  <sheetFormatPr defaultRowHeight="15" x14ac:dyDescent="0.25"/>
  <cols>
    <col min="1" max="1" width="4.5703125" customWidth="1"/>
    <col min="2" max="2" width="20.7109375" customWidth="1"/>
    <col min="3" max="5" width="9.140625" style="1"/>
    <col min="6" max="10" width="9.140625" style="27"/>
    <col min="11" max="11" width="3.28515625" style="27" customWidth="1"/>
    <col min="12" max="12" width="17.7109375" customWidth="1"/>
    <col min="13" max="15" width="9.140625" style="1"/>
    <col min="16" max="16" width="9.140625" style="27"/>
    <col min="17" max="17" width="3.28515625" customWidth="1"/>
    <col min="18" max="18" width="21" customWidth="1"/>
    <col min="19" max="21" width="9.140625" style="1"/>
    <col min="23" max="23" width="2.28515625" customWidth="1"/>
    <col min="24" max="24" width="18.85546875" customWidth="1"/>
    <col min="25" max="27" width="9.140625" style="1"/>
    <col min="28" max="28" width="9.140625" style="27"/>
  </cols>
  <sheetData>
    <row r="1" spans="2:28" x14ac:dyDescent="0.25">
      <c r="V1" s="27"/>
    </row>
    <row r="2" spans="2:28" x14ac:dyDescent="0.25">
      <c r="B2" t="s">
        <v>30</v>
      </c>
      <c r="C2" s="1">
        <f>5.75</f>
        <v>5.75</v>
      </c>
      <c r="D2" s="1">
        <v>0.5</v>
      </c>
      <c r="E2" s="1">
        <v>0.6</v>
      </c>
      <c r="F2" s="27">
        <f t="shared" ref="F2:F8" si="0">C2*D2*E2</f>
        <v>1.7249999999999999</v>
      </c>
      <c r="H2" s="27">
        <v>0.13</v>
      </c>
      <c r="I2" s="27">
        <f>0.2</f>
        <v>0.2</v>
      </c>
      <c r="J2" s="27">
        <f>C2*H2*I2</f>
        <v>0.14950000000000002</v>
      </c>
      <c r="L2" t="s">
        <v>31</v>
      </c>
      <c r="M2" s="1">
        <f>5.175-0.825</f>
        <v>4.3499999999999996</v>
      </c>
      <c r="N2" s="1">
        <f>0.18+0.67</f>
        <v>0.85000000000000009</v>
      </c>
      <c r="O2" s="1">
        <v>0.6</v>
      </c>
      <c r="P2" s="27">
        <f>M2*N2*O2</f>
        <v>2.2185000000000001</v>
      </c>
      <c r="R2" t="s">
        <v>32</v>
      </c>
      <c r="S2" s="1">
        <v>4.3499999999999996</v>
      </c>
      <c r="T2" s="1">
        <v>0.6</v>
      </c>
      <c r="U2" s="1">
        <v>0.6</v>
      </c>
      <c r="V2" s="27">
        <f>S2*T2*U2</f>
        <v>1.5659999999999998</v>
      </c>
      <c r="X2" t="s">
        <v>33</v>
      </c>
      <c r="Y2" s="1">
        <v>2.15</v>
      </c>
      <c r="Z2" s="1">
        <v>0.5</v>
      </c>
      <c r="AA2" s="1">
        <v>0.6</v>
      </c>
      <c r="AB2" s="27">
        <f t="shared" ref="AB2:AB7" si="1">Y2*Z2*AA2</f>
        <v>0.64499999999999991</v>
      </c>
    </row>
    <row r="3" spans="2:28" x14ac:dyDescent="0.25">
      <c r="C3" s="1">
        <v>2.85</v>
      </c>
      <c r="D3" s="1">
        <v>0.5</v>
      </c>
      <c r="E3" s="1">
        <v>0.6</v>
      </c>
      <c r="F3" s="27">
        <f t="shared" si="0"/>
        <v>0.85499999999999998</v>
      </c>
      <c r="H3" s="27">
        <v>0.13</v>
      </c>
      <c r="I3" s="27">
        <f t="shared" ref="I3:I66" si="2">0.2</f>
        <v>0.2</v>
      </c>
      <c r="J3" s="27">
        <f t="shared" ref="J3:J66" si="3">C3*H3*I3</f>
        <v>7.4100000000000013E-2</v>
      </c>
      <c r="M3" s="1">
        <f>5.175-0.825</f>
        <v>4.3499999999999996</v>
      </c>
      <c r="N3" s="1">
        <f>0.18+0.67</f>
        <v>0.85000000000000009</v>
      </c>
      <c r="O3" s="1">
        <v>0.6</v>
      </c>
      <c r="P3" s="27">
        <f t="shared" ref="P3:P9" si="4">M3*N3*O3</f>
        <v>2.2185000000000001</v>
      </c>
      <c r="S3" s="1">
        <v>4.3499999999999996</v>
      </c>
      <c r="T3" s="1">
        <v>0.6</v>
      </c>
      <c r="U3" s="1">
        <v>0.6</v>
      </c>
      <c r="V3" s="27">
        <f>S3*T3*U3</f>
        <v>1.5659999999999998</v>
      </c>
      <c r="Y3" s="1">
        <v>2.15</v>
      </c>
      <c r="Z3" s="1">
        <v>0.5</v>
      </c>
      <c r="AA3" s="1">
        <v>0.6</v>
      </c>
      <c r="AB3" s="27">
        <f t="shared" si="1"/>
        <v>0.64499999999999991</v>
      </c>
    </row>
    <row r="4" spans="2:28" x14ac:dyDescent="0.25">
      <c r="C4" s="1">
        <v>4.4749999999999996</v>
      </c>
      <c r="D4" s="1">
        <v>0.5</v>
      </c>
      <c r="E4" s="1">
        <v>0.6</v>
      </c>
      <c r="F4" s="27">
        <f t="shared" si="0"/>
        <v>1.3424999999999998</v>
      </c>
      <c r="H4" s="27">
        <v>0.13</v>
      </c>
      <c r="I4" s="27">
        <f t="shared" si="2"/>
        <v>0.2</v>
      </c>
      <c r="J4" s="27">
        <f t="shared" si="3"/>
        <v>0.11635000000000001</v>
      </c>
      <c r="M4" s="1">
        <v>4.3499999999999996</v>
      </c>
      <c r="N4" s="1">
        <f>0.18+0.67</f>
        <v>0.85000000000000009</v>
      </c>
      <c r="O4" s="1">
        <v>0.6</v>
      </c>
      <c r="P4" s="27">
        <f t="shared" si="4"/>
        <v>2.2185000000000001</v>
      </c>
      <c r="S4" s="43">
        <f>SUM(S2:S3)</f>
        <v>8.6999999999999993</v>
      </c>
      <c r="V4" s="28">
        <f>SUM(V2:V3)</f>
        <v>3.1319999999999997</v>
      </c>
      <c r="Y4" s="1">
        <v>2.15</v>
      </c>
      <c r="Z4" s="1">
        <v>0.5</v>
      </c>
      <c r="AA4" s="1">
        <v>0.6</v>
      </c>
      <c r="AB4" s="27">
        <f t="shared" si="1"/>
        <v>0.64499999999999991</v>
      </c>
    </row>
    <row r="5" spans="2:28" x14ac:dyDescent="0.25">
      <c r="C5" s="1">
        <v>3.7749999999999999</v>
      </c>
      <c r="D5" s="1">
        <v>0.5</v>
      </c>
      <c r="E5" s="1">
        <v>0.6</v>
      </c>
      <c r="F5" s="27">
        <f t="shared" si="0"/>
        <v>1.1324999999999998</v>
      </c>
      <c r="H5" s="27">
        <v>0.13</v>
      </c>
      <c r="I5" s="27">
        <f t="shared" si="2"/>
        <v>0.2</v>
      </c>
      <c r="J5" s="27">
        <f t="shared" si="3"/>
        <v>9.8150000000000015E-2</v>
      </c>
      <c r="M5" s="1">
        <v>4.3499999999999996</v>
      </c>
      <c r="N5" s="1">
        <f>0.18+0.67</f>
        <v>0.85000000000000009</v>
      </c>
      <c r="O5" s="1">
        <v>0.6</v>
      </c>
      <c r="P5" s="27">
        <f t="shared" si="4"/>
        <v>2.2185000000000001</v>
      </c>
      <c r="V5" s="28"/>
      <c r="Y5" s="1">
        <v>2.85</v>
      </c>
      <c r="Z5" s="1">
        <v>0.5</v>
      </c>
      <c r="AA5" s="1">
        <v>0.6</v>
      </c>
      <c r="AB5" s="27">
        <f t="shared" si="1"/>
        <v>0.85499999999999998</v>
      </c>
    </row>
    <row r="6" spans="2:28" x14ac:dyDescent="0.25">
      <c r="C6" s="1">
        <v>4.3499999999999996</v>
      </c>
      <c r="D6" s="1">
        <v>0.5</v>
      </c>
      <c r="E6" s="1">
        <v>0.6</v>
      </c>
      <c r="F6" s="27">
        <f t="shared" si="0"/>
        <v>1.3049999999999999</v>
      </c>
      <c r="H6" s="27">
        <v>0.13</v>
      </c>
      <c r="I6" s="27">
        <f t="shared" si="2"/>
        <v>0.2</v>
      </c>
      <c r="J6" s="27">
        <f t="shared" si="3"/>
        <v>0.11310000000000001</v>
      </c>
      <c r="M6" s="1">
        <f>6-0.825-0.825</f>
        <v>4.3499999999999996</v>
      </c>
      <c r="N6" s="1">
        <f t="shared" ref="N6:N11" si="5">0.18+0.67</f>
        <v>0.85000000000000009</v>
      </c>
      <c r="O6" s="1">
        <v>0.6</v>
      </c>
      <c r="P6" s="27">
        <f t="shared" si="4"/>
        <v>2.2185000000000001</v>
      </c>
      <c r="V6" s="27"/>
      <c r="Y6" s="1">
        <v>2.85</v>
      </c>
      <c r="Z6" s="1">
        <v>0.5</v>
      </c>
      <c r="AA6" s="1">
        <v>0.6</v>
      </c>
      <c r="AB6" s="27">
        <f t="shared" si="1"/>
        <v>0.85499999999999998</v>
      </c>
    </row>
    <row r="7" spans="2:28" x14ac:dyDescent="0.25">
      <c r="C7" s="1">
        <v>4.3499999999999996</v>
      </c>
      <c r="D7" s="1">
        <v>0.5</v>
      </c>
      <c r="E7" s="1">
        <v>0.6</v>
      </c>
      <c r="F7" s="27">
        <f t="shared" si="0"/>
        <v>1.3049999999999999</v>
      </c>
      <c r="H7" s="27">
        <v>0.13</v>
      </c>
      <c r="I7" s="27">
        <f t="shared" si="2"/>
        <v>0.2</v>
      </c>
      <c r="J7" s="27">
        <f t="shared" si="3"/>
        <v>0.11310000000000001</v>
      </c>
      <c r="M7" s="1">
        <f>6-0.825-0.825</f>
        <v>4.3499999999999996</v>
      </c>
      <c r="N7" s="1">
        <f t="shared" si="5"/>
        <v>0.85000000000000009</v>
      </c>
      <c r="O7" s="1">
        <v>0.6</v>
      </c>
      <c r="P7" s="27">
        <f t="shared" si="4"/>
        <v>2.2185000000000001</v>
      </c>
      <c r="S7" s="44"/>
      <c r="V7" s="27"/>
      <c r="Y7" s="1">
        <v>2.85</v>
      </c>
      <c r="Z7" s="1">
        <v>0.5</v>
      </c>
      <c r="AA7" s="1">
        <v>0.6</v>
      </c>
      <c r="AB7" s="27">
        <f t="shared" si="1"/>
        <v>0.85499999999999998</v>
      </c>
    </row>
    <row r="8" spans="2:28" x14ac:dyDescent="0.25">
      <c r="C8" s="1">
        <v>4.3499999999999996</v>
      </c>
      <c r="D8" s="1">
        <v>0.5</v>
      </c>
      <c r="E8" s="1">
        <v>0.6</v>
      </c>
      <c r="F8" s="27">
        <f t="shared" si="0"/>
        <v>1.3049999999999999</v>
      </c>
      <c r="H8" s="27">
        <v>0.13</v>
      </c>
      <c r="I8" s="27">
        <f t="shared" si="2"/>
        <v>0.2</v>
      </c>
      <c r="J8" s="27">
        <f t="shared" si="3"/>
        <v>0.11310000000000001</v>
      </c>
      <c r="M8" s="1">
        <v>5.75</v>
      </c>
      <c r="N8" s="1">
        <f t="shared" si="5"/>
        <v>0.85000000000000009</v>
      </c>
      <c r="O8" s="1">
        <v>0.6</v>
      </c>
      <c r="P8" s="27">
        <f t="shared" si="4"/>
        <v>2.9325000000000001</v>
      </c>
      <c r="V8" s="27"/>
      <c r="Y8" s="43">
        <f>SUM(Y2:Y7)</f>
        <v>14.999999999999998</v>
      </c>
      <c r="AB8" s="28">
        <f>SUM(AB2:AB7)</f>
        <v>4.5</v>
      </c>
    </row>
    <row r="9" spans="2:28" x14ac:dyDescent="0.25">
      <c r="C9" s="1">
        <v>4.3499999999999996</v>
      </c>
      <c r="D9" s="1">
        <v>0.5</v>
      </c>
      <c r="E9" s="1">
        <v>0.6</v>
      </c>
      <c r="F9" s="27">
        <f t="shared" ref="F9:F11" si="6">C9*D9*E9</f>
        <v>1.3049999999999999</v>
      </c>
      <c r="H9" s="27">
        <v>0.13</v>
      </c>
      <c r="I9" s="27">
        <f t="shared" si="2"/>
        <v>0.2</v>
      </c>
      <c r="J9" s="27">
        <f t="shared" si="3"/>
        <v>0.11310000000000001</v>
      </c>
      <c r="M9" s="1">
        <v>5.75</v>
      </c>
      <c r="N9" s="1">
        <f t="shared" si="5"/>
        <v>0.85000000000000009</v>
      </c>
      <c r="O9" s="1">
        <v>0.6</v>
      </c>
      <c r="P9" s="27">
        <f t="shared" si="4"/>
        <v>2.9325000000000001</v>
      </c>
      <c r="V9" s="27"/>
      <c r="AB9" s="28"/>
    </row>
    <row r="10" spans="2:28" x14ac:dyDescent="0.25">
      <c r="C10" s="1">
        <v>4.3499999999999996</v>
      </c>
      <c r="D10" s="1">
        <v>0.5</v>
      </c>
      <c r="E10" s="1">
        <v>0.6</v>
      </c>
      <c r="F10" s="27">
        <f t="shared" si="6"/>
        <v>1.3049999999999999</v>
      </c>
      <c r="H10" s="27">
        <v>0.13</v>
      </c>
      <c r="I10" s="27">
        <f t="shared" si="2"/>
        <v>0.2</v>
      </c>
      <c r="J10" s="27">
        <f t="shared" si="3"/>
        <v>0.11310000000000001</v>
      </c>
      <c r="M10" s="1">
        <v>5.85</v>
      </c>
      <c r="N10" s="1">
        <f t="shared" si="5"/>
        <v>0.85000000000000009</v>
      </c>
      <c r="O10" s="1">
        <v>0.6</v>
      </c>
      <c r="P10" s="27">
        <f t="shared" ref="P10:P11" si="7">M10*N10*O10</f>
        <v>2.9834999999999998</v>
      </c>
      <c r="V10" s="27"/>
    </row>
    <row r="11" spans="2:28" x14ac:dyDescent="0.25">
      <c r="C11" s="1">
        <v>4.3499999999999996</v>
      </c>
      <c r="D11" s="1">
        <v>0.5</v>
      </c>
      <c r="E11" s="1">
        <v>0.6</v>
      </c>
      <c r="F11" s="27">
        <f t="shared" si="6"/>
        <v>1.3049999999999999</v>
      </c>
      <c r="H11" s="27">
        <v>0.13</v>
      </c>
      <c r="I11" s="27">
        <f t="shared" si="2"/>
        <v>0.2</v>
      </c>
      <c r="J11" s="27">
        <f t="shared" si="3"/>
        <v>0.11310000000000001</v>
      </c>
      <c r="M11" s="1">
        <v>5.85</v>
      </c>
      <c r="N11" s="1">
        <f t="shared" si="5"/>
        <v>0.85000000000000009</v>
      </c>
      <c r="O11" s="1">
        <v>0.6</v>
      </c>
      <c r="P11" s="27">
        <f t="shared" si="7"/>
        <v>2.9834999999999998</v>
      </c>
      <c r="V11" s="27"/>
    </row>
    <row r="12" spans="2:28" x14ac:dyDescent="0.25">
      <c r="C12" s="1">
        <v>4.3499999999999996</v>
      </c>
      <c r="D12" s="1">
        <v>0.5</v>
      </c>
      <c r="E12" s="1">
        <v>0.6</v>
      </c>
      <c r="F12" s="27">
        <f t="shared" ref="F12" si="8">C12*D12*E12</f>
        <v>1.3049999999999999</v>
      </c>
      <c r="H12" s="27">
        <v>0.13</v>
      </c>
      <c r="I12" s="27">
        <f t="shared" si="2"/>
        <v>0.2</v>
      </c>
      <c r="J12" s="27">
        <f t="shared" si="3"/>
        <v>0.11310000000000001</v>
      </c>
      <c r="M12" s="43">
        <f>SUM(M2:M11)</f>
        <v>49.300000000000004</v>
      </c>
      <c r="P12" s="28">
        <f>SUM(P2:P11)</f>
        <v>25.143000000000001</v>
      </c>
      <c r="V12" s="27"/>
    </row>
    <row r="13" spans="2:28" x14ac:dyDescent="0.25">
      <c r="C13" s="1">
        <v>4.3499999999999996</v>
      </c>
      <c r="D13" s="1">
        <v>0.5</v>
      </c>
      <c r="E13" s="1">
        <v>0.6</v>
      </c>
      <c r="F13" s="27">
        <f t="shared" ref="F13" si="9">C13*D13*E13</f>
        <v>1.3049999999999999</v>
      </c>
      <c r="H13" s="27">
        <v>0.13</v>
      </c>
      <c r="I13" s="27">
        <f t="shared" si="2"/>
        <v>0.2</v>
      </c>
      <c r="J13" s="27">
        <f t="shared" si="3"/>
        <v>0.11310000000000001</v>
      </c>
      <c r="P13" s="28"/>
      <c r="V13" s="27"/>
    </row>
    <row r="14" spans="2:28" x14ac:dyDescent="0.25">
      <c r="C14" s="1">
        <v>4.3499999999999996</v>
      </c>
      <c r="D14" s="1">
        <v>0.5</v>
      </c>
      <c r="E14" s="1">
        <v>0.6</v>
      </c>
      <c r="F14" s="27">
        <f t="shared" ref="F14:F15" si="10">C14*D14*E14</f>
        <v>1.3049999999999999</v>
      </c>
      <c r="H14" s="27">
        <v>0.13</v>
      </c>
      <c r="I14" s="27">
        <f t="shared" si="2"/>
        <v>0.2</v>
      </c>
      <c r="J14" s="27">
        <f t="shared" si="3"/>
        <v>0.11310000000000001</v>
      </c>
      <c r="V14" s="27"/>
    </row>
    <row r="15" spans="2:28" x14ac:dyDescent="0.25">
      <c r="C15" s="1">
        <v>4.3499999999999996</v>
      </c>
      <c r="D15" s="1">
        <v>0.5</v>
      </c>
      <c r="E15" s="1">
        <v>0.6</v>
      </c>
      <c r="F15" s="27">
        <f t="shared" si="10"/>
        <v>1.3049999999999999</v>
      </c>
      <c r="H15" s="27">
        <v>0.13</v>
      </c>
      <c r="I15" s="27">
        <f t="shared" si="2"/>
        <v>0.2</v>
      </c>
      <c r="J15" s="27">
        <f t="shared" si="3"/>
        <v>0.11310000000000001</v>
      </c>
      <c r="V15" s="27"/>
    </row>
    <row r="16" spans="2:28" x14ac:dyDescent="0.25">
      <c r="C16" s="1">
        <v>4.3499999999999996</v>
      </c>
      <c r="D16" s="1">
        <v>0.5</v>
      </c>
      <c r="E16" s="1">
        <v>0.6</v>
      </c>
      <c r="F16" s="27">
        <f t="shared" ref="F16:F18" si="11">C16*D16*E16</f>
        <v>1.3049999999999999</v>
      </c>
      <c r="H16" s="27">
        <v>0.13</v>
      </c>
      <c r="I16" s="27">
        <f t="shared" si="2"/>
        <v>0.2</v>
      </c>
      <c r="J16" s="27">
        <f t="shared" si="3"/>
        <v>0.11310000000000001</v>
      </c>
      <c r="V16" s="27"/>
    </row>
    <row r="17" spans="3:22" x14ac:dyDescent="0.25">
      <c r="C17" s="1">
        <v>4.3499999999999996</v>
      </c>
      <c r="D17" s="1">
        <v>0.5</v>
      </c>
      <c r="E17" s="1">
        <v>0.6</v>
      </c>
      <c r="F17" s="27">
        <f t="shared" si="11"/>
        <v>1.3049999999999999</v>
      </c>
      <c r="H17" s="27">
        <v>0.13</v>
      </c>
      <c r="I17" s="27">
        <f t="shared" si="2"/>
        <v>0.2</v>
      </c>
      <c r="J17" s="27">
        <f t="shared" si="3"/>
        <v>0.11310000000000001</v>
      </c>
      <c r="V17" s="27"/>
    </row>
    <row r="18" spans="3:22" x14ac:dyDescent="0.25">
      <c r="C18" s="1">
        <v>4.3499999999999996</v>
      </c>
      <c r="D18" s="1">
        <v>0.5</v>
      </c>
      <c r="E18" s="1">
        <v>0.6</v>
      </c>
      <c r="F18" s="27">
        <f t="shared" si="11"/>
        <v>1.3049999999999999</v>
      </c>
      <c r="H18" s="27">
        <v>0.13</v>
      </c>
      <c r="I18" s="27">
        <f t="shared" si="2"/>
        <v>0.2</v>
      </c>
      <c r="J18" s="27">
        <f t="shared" si="3"/>
        <v>0.11310000000000001</v>
      </c>
      <c r="V18" s="27"/>
    </row>
    <row r="19" spans="3:22" x14ac:dyDescent="0.25">
      <c r="C19" s="1">
        <v>2.85</v>
      </c>
      <c r="D19" s="1">
        <v>0.5</v>
      </c>
      <c r="E19" s="1">
        <v>0.6</v>
      </c>
      <c r="F19" s="27">
        <f t="shared" ref="F19:F28" si="12">C19*D19*E19</f>
        <v>0.85499999999999998</v>
      </c>
      <c r="H19" s="27">
        <v>0.13</v>
      </c>
      <c r="I19" s="27">
        <f t="shared" si="2"/>
        <v>0.2</v>
      </c>
      <c r="J19" s="27">
        <f t="shared" si="3"/>
        <v>7.4100000000000013E-2</v>
      </c>
      <c r="V19" s="27"/>
    </row>
    <row r="20" spans="3:22" x14ac:dyDescent="0.25">
      <c r="C20" s="1">
        <v>2.15</v>
      </c>
      <c r="D20" s="1">
        <v>0.5</v>
      </c>
      <c r="E20" s="1">
        <v>0.6</v>
      </c>
      <c r="F20" s="27">
        <f t="shared" si="12"/>
        <v>0.64499999999999991</v>
      </c>
      <c r="H20" s="27">
        <v>0.13</v>
      </c>
      <c r="I20" s="27">
        <f t="shared" si="2"/>
        <v>0.2</v>
      </c>
      <c r="J20" s="27">
        <f>C20*H20*I20</f>
        <v>5.5899999999999998E-2</v>
      </c>
      <c r="V20" s="27"/>
    </row>
    <row r="21" spans="3:22" x14ac:dyDescent="0.25">
      <c r="C21" s="1">
        <v>4.3499999999999996</v>
      </c>
      <c r="D21" s="1">
        <v>0.5</v>
      </c>
      <c r="E21" s="1">
        <v>0.6</v>
      </c>
      <c r="F21" s="27">
        <f t="shared" si="12"/>
        <v>1.3049999999999999</v>
      </c>
      <c r="H21" s="27">
        <v>0.13</v>
      </c>
      <c r="I21" s="27">
        <f t="shared" si="2"/>
        <v>0.2</v>
      </c>
      <c r="J21" s="27">
        <f t="shared" si="3"/>
        <v>0.11310000000000001</v>
      </c>
      <c r="V21" s="27"/>
    </row>
    <row r="22" spans="3:22" x14ac:dyDescent="0.25">
      <c r="C22" s="1">
        <v>4.3499999999999996</v>
      </c>
      <c r="D22" s="1">
        <v>0.5</v>
      </c>
      <c r="E22" s="1">
        <v>0.6</v>
      </c>
      <c r="F22" s="27">
        <f t="shared" si="12"/>
        <v>1.3049999999999999</v>
      </c>
      <c r="H22" s="27">
        <v>0.13</v>
      </c>
      <c r="I22" s="27">
        <f t="shared" si="2"/>
        <v>0.2</v>
      </c>
      <c r="J22" s="27">
        <f t="shared" si="3"/>
        <v>0.11310000000000001</v>
      </c>
    </row>
    <row r="23" spans="3:22" x14ac:dyDescent="0.25">
      <c r="C23" s="1">
        <v>4.3499999999999996</v>
      </c>
      <c r="D23" s="1">
        <v>0.5</v>
      </c>
      <c r="E23" s="1">
        <v>0.6</v>
      </c>
      <c r="F23" s="27">
        <f t="shared" si="12"/>
        <v>1.3049999999999999</v>
      </c>
      <c r="H23" s="27">
        <v>0.13</v>
      </c>
      <c r="I23" s="27">
        <f t="shared" si="2"/>
        <v>0.2</v>
      </c>
      <c r="J23" s="27">
        <f t="shared" si="3"/>
        <v>0.11310000000000001</v>
      </c>
    </row>
    <row r="24" spans="3:22" x14ac:dyDescent="0.25">
      <c r="C24" s="1">
        <v>4.3499999999999996</v>
      </c>
      <c r="D24" s="1">
        <v>0.5</v>
      </c>
      <c r="E24" s="1">
        <v>0.6</v>
      </c>
      <c r="F24" s="27">
        <f t="shared" si="12"/>
        <v>1.3049999999999999</v>
      </c>
      <c r="H24" s="27">
        <v>0.13</v>
      </c>
      <c r="I24" s="27">
        <f t="shared" si="2"/>
        <v>0.2</v>
      </c>
      <c r="J24" s="27">
        <f t="shared" si="3"/>
        <v>0.11310000000000001</v>
      </c>
    </row>
    <row r="25" spans="3:22" x14ac:dyDescent="0.25">
      <c r="C25" s="1">
        <v>4.3499999999999996</v>
      </c>
      <c r="D25" s="1">
        <v>0.5</v>
      </c>
      <c r="E25" s="1">
        <v>0.6</v>
      </c>
      <c r="F25" s="27">
        <f t="shared" si="12"/>
        <v>1.3049999999999999</v>
      </c>
      <c r="H25" s="27">
        <v>0.13</v>
      </c>
      <c r="I25" s="27">
        <f t="shared" si="2"/>
        <v>0.2</v>
      </c>
      <c r="J25" s="27">
        <f t="shared" si="3"/>
        <v>0.11310000000000001</v>
      </c>
    </row>
    <row r="26" spans="3:22" x14ac:dyDescent="0.25">
      <c r="C26" s="1">
        <v>2.15</v>
      </c>
      <c r="D26" s="1">
        <v>0.5</v>
      </c>
      <c r="E26" s="1">
        <v>0.6</v>
      </c>
      <c r="F26" s="27">
        <f t="shared" si="12"/>
        <v>0.64499999999999991</v>
      </c>
      <c r="H26" s="27">
        <v>0.13</v>
      </c>
      <c r="I26" s="27">
        <f t="shared" si="2"/>
        <v>0.2</v>
      </c>
      <c r="J26" s="27">
        <f t="shared" si="3"/>
        <v>5.5899999999999998E-2</v>
      </c>
    </row>
    <row r="27" spans="3:22" x14ac:dyDescent="0.25">
      <c r="C27" s="1">
        <v>2.85</v>
      </c>
      <c r="D27" s="1">
        <v>0.5</v>
      </c>
      <c r="E27" s="1">
        <v>0.6</v>
      </c>
      <c r="F27" s="27">
        <f t="shared" si="12"/>
        <v>0.85499999999999998</v>
      </c>
      <c r="H27" s="27">
        <v>0.13</v>
      </c>
      <c r="I27" s="27">
        <f t="shared" si="2"/>
        <v>0.2</v>
      </c>
      <c r="J27" s="27">
        <f t="shared" si="3"/>
        <v>7.4100000000000013E-2</v>
      </c>
    </row>
    <row r="28" spans="3:22" x14ac:dyDescent="0.25">
      <c r="C28" s="1">
        <v>5.75</v>
      </c>
      <c r="D28" s="1">
        <v>0.5</v>
      </c>
      <c r="E28" s="1">
        <v>0.6</v>
      </c>
      <c r="F28" s="27">
        <f t="shared" si="12"/>
        <v>1.7249999999999999</v>
      </c>
      <c r="H28" s="27">
        <v>0.13</v>
      </c>
      <c r="I28" s="27">
        <f t="shared" si="2"/>
        <v>0.2</v>
      </c>
      <c r="J28" s="27">
        <f t="shared" si="3"/>
        <v>0.14950000000000002</v>
      </c>
    </row>
    <row r="29" spans="3:22" x14ac:dyDescent="0.25">
      <c r="C29" s="1">
        <v>4.3499999999999996</v>
      </c>
      <c r="D29" s="1">
        <v>0.5</v>
      </c>
      <c r="E29" s="1">
        <v>0.6</v>
      </c>
      <c r="F29" s="27">
        <f t="shared" ref="F29:F54" si="13">C29*D29*E29</f>
        <v>1.3049999999999999</v>
      </c>
      <c r="H29" s="27">
        <v>0.13</v>
      </c>
      <c r="I29" s="27">
        <f t="shared" si="2"/>
        <v>0.2</v>
      </c>
      <c r="J29" s="27">
        <f t="shared" si="3"/>
        <v>0.11310000000000001</v>
      </c>
    </row>
    <row r="30" spans="3:22" x14ac:dyDescent="0.25">
      <c r="C30" s="1">
        <v>4.3499999999999996</v>
      </c>
      <c r="D30" s="1">
        <v>0.5</v>
      </c>
      <c r="E30" s="1">
        <v>0.6</v>
      </c>
      <c r="F30" s="27">
        <f t="shared" si="13"/>
        <v>1.3049999999999999</v>
      </c>
      <c r="H30" s="27">
        <v>0.13</v>
      </c>
      <c r="I30" s="27">
        <f t="shared" si="2"/>
        <v>0.2</v>
      </c>
      <c r="J30" s="27">
        <f t="shared" si="3"/>
        <v>0.11310000000000001</v>
      </c>
    </row>
    <row r="31" spans="3:22" x14ac:dyDescent="0.25">
      <c r="C31" s="1">
        <v>4.3499999999999996</v>
      </c>
      <c r="D31" s="1">
        <v>0.5</v>
      </c>
      <c r="E31" s="1">
        <v>0.6</v>
      </c>
      <c r="F31" s="27">
        <f t="shared" si="13"/>
        <v>1.3049999999999999</v>
      </c>
      <c r="H31" s="27">
        <v>0.13</v>
      </c>
      <c r="I31" s="27">
        <f t="shared" si="2"/>
        <v>0.2</v>
      </c>
      <c r="J31" s="27">
        <f t="shared" si="3"/>
        <v>0.11310000000000001</v>
      </c>
    </row>
    <row r="32" spans="3:22" x14ac:dyDescent="0.25">
      <c r="C32" s="1">
        <v>2.85</v>
      </c>
      <c r="D32" s="1">
        <v>0.5</v>
      </c>
      <c r="E32" s="1">
        <v>0.6</v>
      </c>
      <c r="F32" s="27">
        <f t="shared" si="13"/>
        <v>0.85499999999999998</v>
      </c>
      <c r="H32" s="27">
        <v>0.13</v>
      </c>
      <c r="I32" s="27">
        <f t="shared" si="2"/>
        <v>0.2</v>
      </c>
      <c r="J32" s="27">
        <f t="shared" si="3"/>
        <v>7.4100000000000013E-2</v>
      </c>
    </row>
    <row r="33" spans="3:10" x14ac:dyDescent="0.25">
      <c r="C33" s="1">
        <v>5.9749999999999996</v>
      </c>
      <c r="D33" s="1">
        <v>0.5</v>
      </c>
      <c r="E33" s="1">
        <v>0.6</v>
      </c>
      <c r="F33" s="27">
        <f t="shared" si="13"/>
        <v>1.7924999999999998</v>
      </c>
      <c r="H33" s="27">
        <v>0.13</v>
      </c>
      <c r="I33" s="27">
        <f t="shared" si="2"/>
        <v>0.2</v>
      </c>
      <c r="J33" s="27">
        <f t="shared" si="3"/>
        <v>0.15534999999999999</v>
      </c>
    </row>
    <row r="34" spans="3:10" x14ac:dyDescent="0.25">
      <c r="C34" s="1">
        <v>3.7749999999999999</v>
      </c>
      <c r="D34" s="1">
        <v>0.5</v>
      </c>
      <c r="E34" s="1">
        <v>0.6</v>
      </c>
      <c r="F34" s="27">
        <f t="shared" si="13"/>
        <v>1.1324999999999998</v>
      </c>
      <c r="H34" s="27">
        <v>0.13</v>
      </c>
      <c r="I34" s="27">
        <f t="shared" si="2"/>
        <v>0.2</v>
      </c>
      <c r="J34" s="27">
        <f t="shared" si="3"/>
        <v>9.8150000000000015E-2</v>
      </c>
    </row>
    <row r="35" spans="3:10" x14ac:dyDescent="0.25">
      <c r="C35" s="1">
        <v>4.3499999999999996</v>
      </c>
      <c r="D35" s="1">
        <v>0.5</v>
      </c>
      <c r="E35" s="1">
        <v>0.6</v>
      </c>
      <c r="F35" s="27">
        <f t="shared" si="13"/>
        <v>1.3049999999999999</v>
      </c>
      <c r="H35" s="27">
        <v>0.13</v>
      </c>
      <c r="I35" s="27">
        <f t="shared" si="2"/>
        <v>0.2</v>
      </c>
      <c r="J35" s="27">
        <f t="shared" si="3"/>
        <v>0.11310000000000001</v>
      </c>
    </row>
    <row r="36" spans="3:10" x14ac:dyDescent="0.25">
      <c r="C36" s="1">
        <v>4.3499999999999996</v>
      </c>
      <c r="D36" s="1">
        <v>0.5</v>
      </c>
      <c r="E36" s="1">
        <v>0.6</v>
      </c>
      <c r="F36" s="27">
        <f t="shared" si="13"/>
        <v>1.3049999999999999</v>
      </c>
      <c r="H36" s="27">
        <v>0.13</v>
      </c>
      <c r="I36" s="27">
        <f t="shared" si="2"/>
        <v>0.2</v>
      </c>
      <c r="J36" s="27">
        <f t="shared" si="3"/>
        <v>0.11310000000000001</v>
      </c>
    </row>
    <row r="37" spans="3:10" x14ac:dyDescent="0.25">
      <c r="C37" s="1">
        <v>4.3499999999999996</v>
      </c>
      <c r="D37" s="1">
        <v>0.5</v>
      </c>
      <c r="E37" s="1">
        <v>0.6</v>
      </c>
      <c r="F37" s="27">
        <f t="shared" si="13"/>
        <v>1.3049999999999999</v>
      </c>
      <c r="H37" s="27">
        <v>0.13</v>
      </c>
      <c r="I37" s="27">
        <f t="shared" si="2"/>
        <v>0.2</v>
      </c>
      <c r="J37" s="27">
        <f t="shared" si="3"/>
        <v>0.11310000000000001</v>
      </c>
    </row>
    <row r="38" spans="3:10" x14ac:dyDescent="0.25">
      <c r="C38" s="1">
        <v>4.3499999999999996</v>
      </c>
      <c r="D38" s="1">
        <v>0.5</v>
      </c>
      <c r="E38" s="1">
        <v>0.6</v>
      </c>
      <c r="F38" s="27">
        <f t="shared" si="13"/>
        <v>1.3049999999999999</v>
      </c>
      <c r="H38" s="27">
        <v>0.13</v>
      </c>
      <c r="I38" s="27">
        <f t="shared" si="2"/>
        <v>0.2</v>
      </c>
      <c r="J38" s="27">
        <f t="shared" si="3"/>
        <v>0.11310000000000001</v>
      </c>
    </row>
    <row r="39" spans="3:10" x14ac:dyDescent="0.25">
      <c r="C39" s="1">
        <v>4.3499999999999996</v>
      </c>
      <c r="D39" s="1">
        <v>0.5</v>
      </c>
      <c r="E39" s="1">
        <v>0.6</v>
      </c>
      <c r="F39" s="27">
        <f t="shared" si="13"/>
        <v>1.3049999999999999</v>
      </c>
      <c r="H39" s="27">
        <v>0.13</v>
      </c>
      <c r="I39" s="27">
        <f t="shared" si="2"/>
        <v>0.2</v>
      </c>
      <c r="J39" s="27">
        <f t="shared" si="3"/>
        <v>0.11310000000000001</v>
      </c>
    </row>
    <row r="40" spans="3:10" x14ac:dyDescent="0.25">
      <c r="C40" s="1">
        <v>4.3499999999999996</v>
      </c>
      <c r="D40" s="1">
        <v>0.5</v>
      </c>
      <c r="E40" s="1">
        <v>0.6</v>
      </c>
      <c r="F40" s="27">
        <f t="shared" si="13"/>
        <v>1.3049999999999999</v>
      </c>
      <c r="H40" s="27">
        <v>0.13</v>
      </c>
      <c r="I40" s="27">
        <f t="shared" si="2"/>
        <v>0.2</v>
      </c>
      <c r="J40" s="27">
        <f t="shared" si="3"/>
        <v>0.11310000000000001</v>
      </c>
    </row>
    <row r="41" spans="3:10" x14ac:dyDescent="0.25">
      <c r="C41" s="1">
        <v>2.85</v>
      </c>
      <c r="D41" s="1">
        <v>0.5</v>
      </c>
      <c r="E41" s="1">
        <v>0.6</v>
      </c>
      <c r="F41" s="27">
        <f t="shared" si="13"/>
        <v>0.85499999999999998</v>
      </c>
      <c r="H41" s="27">
        <v>0.13</v>
      </c>
      <c r="I41" s="27">
        <f t="shared" si="2"/>
        <v>0.2</v>
      </c>
      <c r="J41" s="27">
        <f t="shared" si="3"/>
        <v>7.4100000000000013E-2</v>
      </c>
    </row>
    <row r="42" spans="3:10" x14ac:dyDescent="0.25">
      <c r="C42" s="1">
        <v>5.75</v>
      </c>
      <c r="D42" s="1">
        <v>0.5</v>
      </c>
      <c r="E42" s="1">
        <v>0.6</v>
      </c>
      <c r="F42" s="27">
        <f t="shared" si="13"/>
        <v>1.7249999999999999</v>
      </c>
      <c r="H42" s="27">
        <v>0.13</v>
      </c>
      <c r="I42" s="27">
        <f t="shared" si="2"/>
        <v>0.2</v>
      </c>
      <c r="J42" s="27">
        <f t="shared" si="3"/>
        <v>0.14950000000000002</v>
      </c>
    </row>
    <row r="43" spans="3:10" x14ac:dyDescent="0.25">
      <c r="C43" s="1">
        <v>5.75</v>
      </c>
      <c r="D43" s="1">
        <v>0.5</v>
      </c>
      <c r="E43" s="1">
        <v>0.6</v>
      </c>
      <c r="F43" s="27">
        <f t="shared" si="13"/>
        <v>1.7249999999999999</v>
      </c>
      <c r="H43" s="27">
        <v>0.13</v>
      </c>
      <c r="I43" s="27">
        <f t="shared" si="2"/>
        <v>0.2</v>
      </c>
      <c r="J43" s="27">
        <f t="shared" si="3"/>
        <v>0.14950000000000002</v>
      </c>
    </row>
    <row r="44" spans="3:10" x14ac:dyDescent="0.25">
      <c r="C44" s="1">
        <v>2.85</v>
      </c>
      <c r="D44" s="1">
        <v>0.5</v>
      </c>
      <c r="E44" s="1">
        <v>0.6</v>
      </c>
      <c r="F44" s="27">
        <f t="shared" si="13"/>
        <v>0.85499999999999998</v>
      </c>
      <c r="H44" s="27">
        <v>0.13</v>
      </c>
      <c r="I44" s="27">
        <f t="shared" si="2"/>
        <v>0.2</v>
      </c>
      <c r="J44" s="27">
        <f t="shared" si="3"/>
        <v>7.4100000000000013E-2</v>
      </c>
    </row>
    <row r="45" spans="3:10" x14ac:dyDescent="0.25">
      <c r="C45" s="1">
        <v>4.4749999999999996</v>
      </c>
      <c r="D45" s="1">
        <v>0.5</v>
      </c>
      <c r="E45" s="1">
        <v>0.6</v>
      </c>
      <c r="F45" s="27">
        <f t="shared" si="13"/>
        <v>1.3424999999999998</v>
      </c>
      <c r="H45" s="27">
        <v>0.13</v>
      </c>
      <c r="I45" s="27">
        <f t="shared" si="2"/>
        <v>0.2</v>
      </c>
      <c r="J45" s="27">
        <f t="shared" si="3"/>
        <v>0.11635000000000001</v>
      </c>
    </row>
    <row r="46" spans="3:10" x14ac:dyDescent="0.25">
      <c r="C46" s="1">
        <v>1.575</v>
      </c>
      <c r="D46" s="1">
        <v>0.5</v>
      </c>
      <c r="E46" s="1">
        <v>0.6</v>
      </c>
      <c r="F46" s="27">
        <f t="shared" si="13"/>
        <v>0.47249999999999998</v>
      </c>
      <c r="H46" s="27">
        <v>0.13</v>
      </c>
      <c r="I46" s="27">
        <f t="shared" si="2"/>
        <v>0.2</v>
      </c>
      <c r="J46" s="27">
        <f t="shared" si="3"/>
        <v>4.095E-2</v>
      </c>
    </row>
    <row r="47" spans="3:10" x14ac:dyDescent="0.25">
      <c r="C47" s="1">
        <v>4.3499999999999996</v>
      </c>
      <c r="D47" s="1">
        <v>0.5</v>
      </c>
      <c r="E47" s="1">
        <v>0.6</v>
      </c>
      <c r="F47" s="27">
        <f t="shared" si="13"/>
        <v>1.3049999999999999</v>
      </c>
      <c r="H47" s="27">
        <v>0.13</v>
      </c>
      <c r="I47" s="27">
        <f t="shared" si="2"/>
        <v>0.2</v>
      </c>
      <c r="J47" s="27">
        <f t="shared" si="3"/>
        <v>0.11310000000000001</v>
      </c>
    </row>
    <row r="48" spans="3:10" x14ac:dyDescent="0.25">
      <c r="C48" s="1">
        <v>4.3499999999999996</v>
      </c>
      <c r="D48" s="1">
        <v>0.5</v>
      </c>
      <c r="E48" s="1">
        <v>0.6</v>
      </c>
      <c r="F48" s="27">
        <f t="shared" si="13"/>
        <v>1.3049999999999999</v>
      </c>
      <c r="H48" s="27">
        <v>0.13</v>
      </c>
      <c r="I48" s="27">
        <f t="shared" si="2"/>
        <v>0.2</v>
      </c>
      <c r="J48" s="27">
        <f t="shared" si="3"/>
        <v>0.11310000000000001</v>
      </c>
    </row>
    <row r="49" spans="3:10" x14ac:dyDescent="0.25">
      <c r="C49" s="1">
        <v>4.3499999999999996</v>
      </c>
      <c r="D49" s="1">
        <v>0.5</v>
      </c>
      <c r="E49" s="1">
        <v>0.6</v>
      </c>
      <c r="F49" s="27">
        <f t="shared" si="13"/>
        <v>1.3049999999999999</v>
      </c>
      <c r="H49" s="27">
        <v>0.13</v>
      </c>
      <c r="I49" s="27">
        <f t="shared" si="2"/>
        <v>0.2</v>
      </c>
      <c r="J49" s="27">
        <f t="shared" si="3"/>
        <v>0.11310000000000001</v>
      </c>
    </row>
    <row r="50" spans="3:10" x14ac:dyDescent="0.25">
      <c r="C50" s="1">
        <v>4.3499999999999996</v>
      </c>
      <c r="D50" s="1">
        <v>0.5</v>
      </c>
      <c r="E50" s="1">
        <v>0.6</v>
      </c>
      <c r="F50" s="27">
        <f t="shared" si="13"/>
        <v>1.3049999999999999</v>
      </c>
      <c r="H50" s="27">
        <v>0.13</v>
      </c>
      <c r="I50" s="27">
        <f t="shared" si="2"/>
        <v>0.2</v>
      </c>
      <c r="J50" s="27">
        <f t="shared" si="3"/>
        <v>0.11310000000000001</v>
      </c>
    </row>
    <row r="51" spans="3:10" x14ac:dyDescent="0.25">
      <c r="C51" s="1">
        <v>2.85</v>
      </c>
      <c r="D51" s="1">
        <v>0.5</v>
      </c>
      <c r="E51" s="1">
        <v>0.6</v>
      </c>
      <c r="F51" s="27">
        <f t="shared" si="13"/>
        <v>0.85499999999999998</v>
      </c>
      <c r="H51" s="27">
        <v>0.13</v>
      </c>
      <c r="I51" s="27">
        <f t="shared" si="2"/>
        <v>0.2</v>
      </c>
      <c r="J51" s="27">
        <f t="shared" si="3"/>
        <v>7.4100000000000013E-2</v>
      </c>
    </row>
    <row r="52" spans="3:10" x14ac:dyDescent="0.25">
      <c r="C52" s="1">
        <v>4.3499999999999996</v>
      </c>
      <c r="D52" s="1">
        <v>0.5</v>
      </c>
      <c r="E52" s="1">
        <v>0.6</v>
      </c>
      <c r="F52" s="27">
        <f t="shared" si="13"/>
        <v>1.3049999999999999</v>
      </c>
      <c r="H52" s="27">
        <v>0.13</v>
      </c>
      <c r="I52" s="27">
        <f t="shared" si="2"/>
        <v>0.2</v>
      </c>
      <c r="J52" s="27">
        <f t="shared" si="3"/>
        <v>0.11310000000000001</v>
      </c>
    </row>
    <row r="53" spans="3:10" x14ac:dyDescent="0.25">
      <c r="C53" s="1">
        <v>4.3499999999999996</v>
      </c>
      <c r="D53" s="1">
        <v>0.5</v>
      </c>
      <c r="E53" s="1">
        <v>0.6</v>
      </c>
      <c r="F53" s="27">
        <f t="shared" si="13"/>
        <v>1.3049999999999999</v>
      </c>
      <c r="H53" s="27">
        <v>0.13</v>
      </c>
      <c r="I53" s="27">
        <f t="shared" si="2"/>
        <v>0.2</v>
      </c>
      <c r="J53" s="27">
        <f t="shared" si="3"/>
        <v>0.11310000000000001</v>
      </c>
    </row>
    <row r="54" spans="3:10" x14ac:dyDescent="0.25">
      <c r="C54" s="1">
        <v>4.3499999999999996</v>
      </c>
      <c r="D54" s="1">
        <v>0.5</v>
      </c>
      <c r="E54" s="1">
        <v>0.6</v>
      </c>
      <c r="F54" s="27">
        <f t="shared" si="13"/>
        <v>1.3049999999999999</v>
      </c>
      <c r="H54" s="27">
        <v>0.13</v>
      </c>
      <c r="I54" s="27">
        <f t="shared" si="2"/>
        <v>0.2</v>
      </c>
      <c r="J54" s="27">
        <f t="shared" si="3"/>
        <v>0.11310000000000001</v>
      </c>
    </row>
    <row r="55" spans="3:10" x14ac:dyDescent="0.25">
      <c r="C55" s="1">
        <v>5.75</v>
      </c>
      <c r="D55" s="1">
        <v>0.5</v>
      </c>
      <c r="E55" s="1">
        <v>0.6</v>
      </c>
      <c r="F55" s="27">
        <f t="shared" ref="F55:F58" si="14">C55*D55*E55</f>
        <v>1.7249999999999999</v>
      </c>
      <c r="H55" s="27">
        <v>0.13</v>
      </c>
      <c r="I55" s="27">
        <f t="shared" si="2"/>
        <v>0.2</v>
      </c>
      <c r="J55" s="27">
        <f t="shared" si="3"/>
        <v>0.14950000000000002</v>
      </c>
    </row>
    <row r="56" spans="3:10" x14ac:dyDescent="0.25">
      <c r="C56" s="1">
        <v>5.75</v>
      </c>
      <c r="D56" s="1">
        <v>0.5</v>
      </c>
      <c r="E56" s="1">
        <v>0.6</v>
      </c>
      <c r="F56" s="27">
        <f t="shared" si="14"/>
        <v>1.7249999999999999</v>
      </c>
      <c r="H56" s="27">
        <v>0.13</v>
      </c>
      <c r="I56" s="27">
        <f t="shared" si="2"/>
        <v>0.2</v>
      </c>
      <c r="J56" s="27">
        <f t="shared" si="3"/>
        <v>0.14950000000000002</v>
      </c>
    </row>
    <row r="57" spans="3:10" x14ac:dyDescent="0.25">
      <c r="C57" s="1">
        <v>2.85</v>
      </c>
      <c r="D57" s="1">
        <v>0.5</v>
      </c>
      <c r="E57" s="1">
        <v>0.6</v>
      </c>
      <c r="F57" s="27">
        <f t="shared" si="14"/>
        <v>0.85499999999999998</v>
      </c>
      <c r="H57" s="27">
        <v>0.13</v>
      </c>
      <c r="I57" s="27">
        <f t="shared" si="2"/>
        <v>0.2</v>
      </c>
      <c r="J57" s="27">
        <f t="shared" si="3"/>
        <v>7.4100000000000013E-2</v>
      </c>
    </row>
    <row r="58" spans="3:10" x14ac:dyDescent="0.25">
      <c r="C58" s="1">
        <v>2.85</v>
      </c>
      <c r="D58" s="1">
        <v>0.5</v>
      </c>
      <c r="E58" s="1">
        <v>0.6</v>
      </c>
      <c r="F58" s="27">
        <f t="shared" si="14"/>
        <v>0.85499999999999998</v>
      </c>
      <c r="H58" s="27">
        <v>0.13</v>
      </c>
      <c r="I58" s="27">
        <f t="shared" si="2"/>
        <v>0.2</v>
      </c>
      <c r="J58" s="27">
        <f t="shared" si="3"/>
        <v>7.4100000000000013E-2</v>
      </c>
    </row>
    <row r="59" spans="3:10" x14ac:dyDescent="0.25">
      <c r="C59" s="1">
        <v>4.3499999999999996</v>
      </c>
      <c r="D59" s="1">
        <v>0.5</v>
      </c>
      <c r="E59" s="1">
        <v>0.6</v>
      </c>
      <c r="F59" s="27">
        <f t="shared" ref="F59:F60" si="15">C59*D59*E59</f>
        <v>1.3049999999999999</v>
      </c>
      <c r="H59" s="27">
        <v>0.13</v>
      </c>
      <c r="I59" s="27">
        <f t="shared" si="2"/>
        <v>0.2</v>
      </c>
      <c r="J59" s="27">
        <f t="shared" si="3"/>
        <v>0.11310000000000001</v>
      </c>
    </row>
    <row r="60" spans="3:10" x14ac:dyDescent="0.25">
      <c r="C60" s="1">
        <v>4.3499999999999996</v>
      </c>
      <c r="D60" s="1">
        <v>0.5</v>
      </c>
      <c r="E60" s="1">
        <v>0.6</v>
      </c>
      <c r="F60" s="27">
        <f t="shared" si="15"/>
        <v>1.3049999999999999</v>
      </c>
      <c r="H60" s="27">
        <v>0.13</v>
      </c>
      <c r="I60" s="27">
        <f t="shared" si="2"/>
        <v>0.2</v>
      </c>
      <c r="J60" s="27">
        <f t="shared" si="3"/>
        <v>0.11310000000000001</v>
      </c>
    </row>
    <row r="61" spans="3:10" x14ac:dyDescent="0.25">
      <c r="C61" s="1">
        <v>4.3499999999999996</v>
      </c>
      <c r="D61" s="1">
        <v>0.5</v>
      </c>
      <c r="E61" s="1">
        <v>0.6</v>
      </c>
      <c r="F61" s="27">
        <f t="shared" ref="F61:F63" si="16">C61*D61*E61</f>
        <v>1.3049999999999999</v>
      </c>
      <c r="H61" s="27">
        <v>0.13</v>
      </c>
      <c r="I61" s="27">
        <f t="shared" si="2"/>
        <v>0.2</v>
      </c>
      <c r="J61" s="27">
        <f t="shared" si="3"/>
        <v>0.11310000000000001</v>
      </c>
    </row>
    <row r="62" spans="3:10" x14ac:dyDescent="0.25">
      <c r="C62" s="1">
        <v>4.3499999999999996</v>
      </c>
      <c r="D62" s="1">
        <v>0.5</v>
      </c>
      <c r="E62" s="1">
        <v>0.6</v>
      </c>
      <c r="F62" s="27">
        <f t="shared" si="16"/>
        <v>1.3049999999999999</v>
      </c>
      <c r="H62" s="27">
        <v>0.13</v>
      </c>
      <c r="I62" s="27">
        <f t="shared" si="2"/>
        <v>0.2</v>
      </c>
      <c r="J62" s="27">
        <f t="shared" si="3"/>
        <v>0.11310000000000001</v>
      </c>
    </row>
    <row r="63" spans="3:10" x14ac:dyDescent="0.25">
      <c r="C63" s="1">
        <v>2.585</v>
      </c>
      <c r="D63" s="1">
        <v>0.5</v>
      </c>
      <c r="E63" s="1">
        <v>0.6</v>
      </c>
      <c r="F63" s="27">
        <f t="shared" si="16"/>
        <v>0.77549999999999997</v>
      </c>
      <c r="H63" s="27">
        <v>0.13</v>
      </c>
      <c r="I63" s="27">
        <f t="shared" si="2"/>
        <v>0.2</v>
      </c>
      <c r="J63" s="27">
        <f t="shared" si="3"/>
        <v>6.7210000000000006E-2</v>
      </c>
    </row>
    <row r="64" spans="3:10" x14ac:dyDescent="0.25">
      <c r="C64" s="52">
        <f>3.775</f>
        <v>3.7749999999999999</v>
      </c>
      <c r="D64" s="1">
        <v>0.5</v>
      </c>
      <c r="E64" s="1">
        <v>0.6</v>
      </c>
      <c r="F64" s="27">
        <f t="shared" ref="F64:F70" si="17">C64*D64*E64</f>
        <v>1.1324999999999998</v>
      </c>
      <c r="H64" s="27">
        <v>0.13</v>
      </c>
      <c r="I64" s="27">
        <f t="shared" si="2"/>
        <v>0.2</v>
      </c>
      <c r="J64" s="27">
        <f t="shared" si="3"/>
        <v>9.8150000000000015E-2</v>
      </c>
    </row>
    <row r="65" spans="3:13" x14ac:dyDescent="0.25">
      <c r="C65" s="1">
        <v>4.3499999999999996</v>
      </c>
      <c r="D65" s="1">
        <v>0.5</v>
      </c>
      <c r="E65" s="1">
        <v>0.6</v>
      </c>
      <c r="F65" s="27">
        <f t="shared" si="17"/>
        <v>1.3049999999999999</v>
      </c>
      <c r="H65" s="27">
        <v>0.13</v>
      </c>
      <c r="I65" s="27">
        <f t="shared" si="2"/>
        <v>0.2</v>
      </c>
      <c r="J65" s="27">
        <f t="shared" si="3"/>
        <v>0.11310000000000001</v>
      </c>
    </row>
    <row r="66" spans="3:13" x14ac:dyDescent="0.25">
      <c r="C66" s="1">
        <v>4.3499999999999996</v>
      </c>
      <c r="D66" s="1">
        <v>0.5</v>
      </c>
      <c r="E66" s="1">
        <v>0.6</v>
      </c>
      <c r="F66" s="27">
        <f t="shared" si="17"/>
        <v>1.3049999999999999</v>
      </c>
      <c r="H66" s="27">
        <v>0.13</v>
      </c>
      <c r="I66" s="27">
        <f t="shared" si="2"/>
        <v>0.2</v>
      </c>
      <c r="J66" s="27">
        <f t="shared" si="3"/>
        <v>0.11310000000000001</v>
      </c>
    </row>
    <row r="67" spans="3:13" x14ac:dyDescent="0.25">
      <c r="C67" s="1">
        <v>4.3499999999999996</v>
      </c>
      <c r="D67" s="1">
        <v>0.5</v>
      </c>
      <c r="E67" s="1">
        <v>0.6</v>
      </c>
      <c r="F67" s="27">
        <f t="shared" si="17"/>
        <v>1.3049999999999999</v>
      </c>
      <c r="H67" s="27">
        <v>0.13</v>
      </c>
      <c r="I67" s="27">
        <f t="shared" ref="I67:I83" si="18">0.2</f>
        <v>0.2</v>
      </c>
      <c r="J67" s="27">
        <f t="shared" ref="J67:J83" si="19">C67*H67*I67</f>
        <v>0.11310000000000001</v>
      </c>
    </row>
    <row r="68" spans="3:13" x14ac:dyDescent="0.25">
      <c r="C68" s="1">
        <v>4.3499999999999996</v>
      </c>
      <c r="D68" s="1">
        <v>0.5</v>
      </c>
      <c r="E68" s="1">
        <v>0.6</v>
      </c>
      <c r="F68" s="27">
        <f t="shared" si="17"/>
        <v>1.3049999999999999</v>
      </c>
      <c r="H68" s="27">
        <v>0.13</v>
      </c>
      <c r="I68" s="27">
        <f t="shared" si="18"/>
        <v>0.2</v>
      </c>
      <c r="J68" s="27">
        <f t="shared" si="19"/>
        <v>0.11310000000000001</v>
      </c>
    </row>
    <row r="69" spans="3:13" x14ac:dyDescent="0.25">
      <c r="C69" s="1">
        <v>4.3499999999999996</v>
      </c>
      <c r="D69" s="1">
        <v>0.5</v>
      </c>
      <c r="E69" s="1">
        <v>0.6</v>
      </c>
      <c r="F69" s="27">
        <f t="shared" si="17"/>
        <v>1.3049999999999999</v>
      </c>
      <c r="H69" s="27">
        <v>0.13</v>
      </c>
      <c r="I69" s="27">
        <f t="shared" si="18"/>
        <v>0.2</v>
      </c>
      <c r="J69" s="27">
        <f t="shared" si="19"/>
        <v>0.11310000000000001</v>
      </c>
    </row>
    <row r="70" spans="3:13" x14ac:dyDescent="0.25">
      <c r="C70" s="1">
        <v>2.15</v>
      </c>
      <c r="D70" s="1">
        <v>0.5</v>
      </c>
      <c r="E70" s="1">
        <v>0.6</v>
      </c>
      <c r="F70" s="27">
        <f t="shared" si="17"/>
        <v>0.64499999999999991</v>
      </c>
      <c r="H70" s="27">
        <v>0.13</v>
      </c>
      <c r="I70" s="27">
        <f t="shared" si="18"/>
        <v>0.2</v>
      </c>
      <c r="J70" s="27">
        <f t="shared" si="19"/>
        <v>5.5899999999999998E-2</v>
      </c>
    </row>
    <row r="71" spans="3:13" x14ac:dyDescent="0.25">
      <c r="C71" s="1">
        <v>4.3499999999999996</v>
      </c>
      <c r="D71" s="1">
        <v>0.5</v>
      </c>
      <c r="E71" s="1">
        <v>0.6</v>
      </c>
      <c r="F71" s="27">
        <f t="shared" ref="F71:F74" si="20">C71*D71*E71</f>
        <v>1.3049999999999999</v>
      </c>
      <c r="H71" s="27">
        <v>0.13</v>
      </c>
      <c r="I71" s="27">
        <f t="shared" si="18"/>
        <v>0.2</v>
      </c>
      <c r="J71" s="27">
        <f t="shared" si="19"/>
        <v>0.11310000000000001</v>
      </c>
    </row>
    <row r="72" spans="3:13" x14ac:dyDescent="0.25">
      <c r="C72" s="1">
        <v>4.3499999999999996</v>
      </c>
      <c r="D72" s="1">
        <v>0.5</v>
      </c>
      <c r="E72" s="1">
        <v>0.6</v>
      </c>
      <c r="F72" s="27">
        <f t="shared" si="20"/>
        <v>1.3049999999999999</v>
      </c>
      <c r="H72" s="27">
        <v>0.13</v>
      </c>
      <c r="I72" s="27">
        <f t="shared" si="18"/>
        <v>0.2</v>
      </c>
      <c r="J72" s="27">
        <f t="shared" si="19"/>
        <v>0.11310000000000001</v>
      </c>
    </row>
    <row r="73" spans="3:13" x14ac:dyDescent="0.25">
      <c r="C73" s="1">
        <v>4.3499999999999996</v>
      </c>
      <c r="D73" s="1">
        <v>0.5</v>
      </c>
      <c r="E73" s="1">
        <v>0.6</v>
      </c>
      <c r="F73" s="27">
        <f t="shared" si="20"/>
        <v>1.3049999999999999</v>
      </c>
      <c r="H73" s="27">
        <v>0.13</v>
      </c>
      <c r="I73" s="27">
        <f t="shared" si="18"/>
        <v>0.2</v>
      </c>
      <c r="J73" s="27">
        <f t="shared" si="19"/>
        <v>0.11310000000000001</v>
      </c>
      <c r="M73" s="54"/>
    </row>
    <row r="74" spans="3:13" x14ac:dyDescent="0.25">
      <c r="C74" s="1">
        <v>4.3499999999999996</v>
      </c>
      <c r="D74" s="1">
        <v>0.5</v>
      </c>
      <c r="E74" s="1">
        <v>0.6</v>
      </c>
      <c r="F74" s="27">
        <f t="shared" si="20"/>
        <v>1.3049999999999999</v>
      </c>
      <c r="H74" s="27">
        <v>0.13</v>
      </c>
      <c r="I74" s="27">
        <f t="shared" si="18"/>
        <v>0.2</v>
      </c>
      <c r="J74" s="27">
        <f t="shared" si="19"/>
        <v>0.11310000000000001</v>
      </c>
      <c r="M74" s="54"/>
    </row>
    <row r="75" spans="3:13" x14ac:dyDescent="0.25">
      <c r="C75" s="1">
        <v>2.15</v>
      </c>
      <c r="D75" s="1">
        <v>0.5</v>
      </c>
      <c r="E75" s="1">
        <v>0.6</v>
      </c>
      <c r="F75" s="27">
        <f t="shared" ref="F75:F83" si="21">C75*D75*E75</f>
        <v>0.64499999999999991</v>
      </c>
      <c r="H75" s="27">
        <v>0.13</v>
      </c>
      <c r="I75" s="27">
        <f t="shared" si="18"/>
        <v>0.2</v>
      </c>
      <c r="J75" s="27">
        <f t="shared" si="19"/>
        <v>5.5899999999999998E-2</v>
      </c>
      <c r="M75" s="54"/>
    </row>
    <row r="76" spans="3:13" x14ac:dyDescent="0.25">
      <c r="C76" s="1">
        <v>3.6749999999999998</v>
      </c>
      <c r="D76" s="1">
        <v>0.5</v>
      </c>
      <c r="E76" s="1">
        <v>0.6</v>
      </c>
      <c r="F76" s="27">
        <f t="shared" si="21"/>
        <v>1.1024999999999998</v>
      </c>
      <c r="H76" s="27">
        <v>0.13</v>
      </c>
      <c r="I76" s="27">
        <f t="shared" si="18"/>
        <v>0.2</v>
      </c>
      <c r="J76" s="27">
        <f t="shared" si="19"/>
        <v>9.555000000000001E-2</v>
      </c>
      <c r="M76" s="54"/>
    </row>
    <row r="77" spans="3:13" x14ac:dyDescent="0.25">
      <c r="C77" s="1">
        <v>4.3499999999999996</v>
      </c>
      <c r="D77" s="1">
        <v>0.5</v>
      </c>
      <c r="E77" s="1">
        <v>0.6</v>
      </c>
      <c r="F77" s="27">
        <f t="shared" si="21"/>
        <v>1.3049999999999999</v>
      </c>
      <c r="H77" s="27">
        <v>0.13</v>
      </c>
      <c r="I77" s="27">
        <f t="shared" si="18"/>
        <v>0.2</v>
      </c>
      <c r="J77" s="27">
        <f t="shared" si="19"/>
        <v>0.11310000000000001</v>
      </c>
      <c r="M77" s="54"/>
    </row>
    <row r="78" spans="3:13" x14ac:dyDescent="0.25">
      <c r="C78" s="1">
        <v>4.3499999999999996</v>
      </c>
      <c r="D78" s="1">
        <v>0.5</v>
      </c>
      <c r="E78" s="1">
        <v>0.6</v>
      </c>
      <c r="F78" s="27">
        <f t="shared" si="21"/>
        <v>1.3049999999999999</v>
      </c>
      <c r="H78" s="27">
        <v>0.13</v>
      </c>
      <c r="I78" s="27">
        <f t="shared" si="18"/>
        <v>0.2</v>
      </c>
      <c r="J78" s="27">
        <f t="shared" si="19"/>
        <v>0.11310000000000001</v>
      </c>
      <c r="M78" s="27"/>
    </row>
    <row r="79" spans="3:13" x14ac:dyDescent="0.25">
      <c r="C79" s="1">
        <v>4.3499999999999996</v>
      </c>
      <c r="D79" s="1">
        <v>0.5</v>
      </c>
      <c r="E79" s="1">
        <v>0.6</v>
      </c>
      <c r="F79" s="27">
        <f t="shared" si="21"/>
        <v>1.3049999999999999</v>
      </c>
      <c r="H79" s="27">
        <v>0.13</v>
      </c>
      <c r="I79" s="27">
        <f t="shared" si="18"/>
        <v>0.2</v>
      </c>
      <c r="J79" s="27">
        <f t="shared" si="19"/>
        <v>0.11310000000000001</v>
      </c>
    </row>
    <row r="80" spans="3:13" x14ac:dyDescent="0.25">
      <c r="C80" s="1">
        <v>4.3499999999999996</v>
      </c>
      <c r="D80" s="1">
        <v>0.5</v>
      </c>
      <c r="E80" s="1">
        <v>0.6</v>
      </c>
      <c r="F80" s="27">
        <f t="shared" si="21"/>
        <v>1.3049999999999999</v>
      </c>
      <c r="H80" s="27">
        <v>0.13</v>
      </c>
      <c r="I80" s="27">
        <f t="shared" si="18"/>
        <v>0.2</v>
      </c>
      <c r="J80" s="27">
        <f t="shared" si="19"/>
        <v>0.11310000000000001</v>
      </c>
    </row>
    <row r="81" spans="1:11" x14ac:dyDescent="0.25">
      <c r="C81" s="1">
        <v>4.3499999999999996</v>
      </c>
      <c r="D81" s="1">
        <v>0.5</v>
      </c>
      <c r="E81" s="1">
        <v>0.6</v>
      </c>
      <c r="F81" s="27">
        <f t="shared" si="21"/>
        <v>1.3049999999999999</v>
      </c>
      <c r="H81" s="27">
        <v>0.13</v>
      </c>
      <c r="I81" s="27">
        <f t="shared" si="18"/>
        <v>0.2</v>
      </c>
      <c r="J81" s="27">
        <f t="shared" si="19"/>
        <v>0.11310000000000001</v>
      </c>
    </row>
    <row r="82" spans="1:11" x14ac:dyDescent="0.25">
      <c r="C82" s="1">
        <v>1.575</v>
      </c>
      <c r="D82" s="1">
        <v>0.5</v>
      </c>
      <c r="E82" s="1">
        <v>0.6</v>
      </c>
      <c r="F82" s="27">
        <f t="shared" si="21"/>
        <v>0.47249999999999998</v>
      </c>
      <c r="H82" s="27">
        <v>0.13</v>
      </c>
      <c r="I82" s="27">
        <f t="shared" si="18"/>
        <v>0.2</v>
      </c>
      <c r="J82" s="27">
        <f t="shared" si="19"/>
        <v>4.095E-2</v>
      </c>
    </row>
    <row r="83" spans="1:11" x14ac:dyDescent="0.25">
      <c r="C83" s="1">
        <v>4.3499999999999996</v>
      </c>
      <c r="D83" s="1">
        <v>0.5</v>
      </c>
      <c r="E83" s="1">
        <v>0.6</v>
      </c>
      <c r="F83" s="27">
        <f t="shared" si="21"/>
        <v>1.3049999999999999</v>
      </c>
      <c r="H83" s="27">
        <v>0.13</v>
      </c>
      <c r="I83" s="27">
        <f t="shared" si="18"/>
        <v>0.2</v>
      </c>
      <c r="J83" s="27">
        <f t="shared" si="19"/>
        <v>0.11310000000000001</v>
      </c>
    </row>
    <row r="84" spans="1:11" x14ac:dyDescent="0.25">
      <c r="C84" s="27">
        <f>SUM(C2:C83)</f>
        <v>334.96000000000009</v>
      </c>
      <c r="F84" s="28">
        <f>SUM(F2:F83)</f>
        <v>100.4880000000001</v>
      </c>
      <c r="G84" s="28"/>
      <c r="H84" s="28"/>
      <c r="I84" s="28"/>
      <c r="J84" s="28">
        <f>SUM(J2:J83)</f>
        <v>8.7089600000000011</v>
      </c>
      <c r="K84" s="28"/>
    </row>
    <row r="85" spans="1:11" x14ac:dyDescent="0.25">
      <c r="F85" s="28"/>
    </row>
    <row r="86" spans="1:11" x14ac:dyDescent="0.25">
      <c r="G86" s="27">
        <v>0.9</v>
      </c>
      <c r="H86" s="27">
        <v>0.13</v>
      </c>
      <c r="I86" s="27">
        <v>0.2</v>
      </c>
      <c r="J86" s="27">
        <f>G86*H86*I86</f>
        <v>2.3400000000000004E-2</v>
      </c>
    </row>
    <row r="87" spans="1:11" x14ac:dyDescent="0.25">
      <c r="A87" s="26"/>
      <c r="G87" s="27">
        <v>0.9</v>
      </c>
      <c r="H87" s="27">
        <v>0.13</v>
      </c>
      <c r="I87" s="27">
        <v>0.2</v>
      </c>
      <c r="J87" s="27">
        <f>G87*H87*I87</f>
        <v>2.3400000000000004E-2</v>
      </c>
    </row>
    <row r="88" spans="1:11" ht="12.75" customHeight="1" x14ac:dyDescent="0.25">
      <c r="G88" s="27">
        <v>0.9</v>
      </c>
      <c r="H88" s="27">
        <v>0.13</v>
      </c>
      <c r="I88" s="27">
        <v>0.2</v>
      </c>
      <c r="J88" s="27">
        <f>G88*H88*I88</f>
        <v>2.3400000000000004E-2</v>
      </c>
    </row>
    <row r="89" spans="1:11" x14ac:dyDescent="0.25">
      <c r="A89" s="26"/>
      <c r="J89" s="28">
        <f>SUM(J86:J88)</f>
        <v>7.0200000000000012E-2</v>
      </c>
    </row>
    <row r="91" spans="1:11" x14ac:dyDescent="0.25">
      <c r="C91" s="27"/>
      <c r="D91" s="27">
        <f>334.96*0.5*0.6</f>
        <v>100.48799999999999</v>
      </c>
      <c r="E91" s="172">
        <f>D91+D92</f>
        <v>109.12675999999999</v>
      </c>
      <c r="G91" s="98"/>
      <c r="H91" s="172"/>
    </row>
    <row r="92" spans="1:11" x14ac:dyDescent="0.25">
      <c r="C92" s="27"/>
      <c r="D92" s="27">
        <f>(C84-0.9-0.9-0.9)*0.2*0.13</f>
        <v>8.6387600000000049</v>
      </c>
      <c r="E92" s="172"/>
      <c r="G92" s="98"/>
      <c r="H92" s="172"/>
    </row>
    <row r="93" spans="1:11" x14ac:dyDescent="0.25">
      <c r="C93" s="27"/>
      <c r="D93" s="27">
        <f>P12</f>
        <v>25.143000000000001</v>
      </c>
      <c r="G93" s="98"/>
      <c r="H93" s="1"/>
    </row>
    <row r="94" spans="1:11" x14ac:dyDescent="0.25">
      <c r="C94" s="27"/>
      <c r="D94" s="27">
        <f>V4</f>
        <v>3.1319999999999997</v>
      </c>
      <c r="G94" s="98"/>
      <c r="H94" s="1"/>
    </row>
    <row r="95" spans="1:11" x14ac:dyDescent="0.25">
      <c r="C95" s="27"/>
      <c r="D95" s="27">
        <f>AB8</f>
        <v>4.5</v>
      </c>
      <c r="G95" s="98"/>
      <c r="H95" s="1"/>
    </row>
    <row r="96" spans="1:11" x14ac:dyDescent="0.25">
      <c r="C96" s="27"/>
      <c r="G96" s="1"/>
      <c r="H96" s="1"/>
    </row>
    <row r="97" spans="4:8" x14ac:dyDescent="0.25">
      <c r="D97" s="28">
        <f>SUM(D91:D95)</f>
        <v>141.90176</v>
      </c>
      <c r="G97" s="28"/>
      <c r="H97" s="1"/>
    </row>
  </sheetData>
  <mergeCells count="2">
    <mergeCell ref="E91:E92"/>
    <mergeCell ref="H91:H92"/>
  </mergeCells>
  <phoneticPr fontId="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31"/>
  <sheetViews>
    <sheetView zoomScale="85" zoomScaleNormal="85" workbookViewId="0">
      <selection activeCell="X6" sqref="X6"/>
    </sheetView>
  </sheetViews>
  <sheetFormatPr defaultRowHeight="15" x14ac:dyDescent="0.25"/>
  <sheetData>
    <row r="5" spans="2:26" x14ac:dyDescent="0.25">
      <c r="B5" t="s">
        <v>63</v>
      </c>
      <c r="C5" s="64">
        <f>6.6*88</f>
        <v>580.79999999999995</v>
      </c>
      <c r="D5" s="29">
        <f>C5*0.6</f>
        <v>348.47999999999996</v>
      </c>
      <c r="E5" s="66"/>
      <c r="F5" t="s">
        <v>64</v>
      </c>
      <c r="G5">
        <v>4.25</v>
      </c>
      <c r="H5" t="s">
        <v>53</v>
      </c>
      <c r="I5" t="s">
        <v>65</v>
      </c>
      <c r="J5">
        <f>7.5*6</f>
        <v>45</v>
      </c>
      <c r="K5">
        <f>J5*0.6</f>
        <v>27</v>
      </c>
      <c r="M5" t="s">
        <v>66</v>
      </c>
      <c r="N5">
        <v>12.02</v>
      </c>
      <c r="O5">
        <f>N5*0.6</f>
        <v>7.2119999999999997</v>
      </c>
      <c r="P5" s="63">
        <f>12.02*0.6*1</f>
        <v>7.2119999999999997</v>
      </c>
      <c r="Q5" s="66"/>
      <c r="R5" t="s">
        <v>67</v>
      </c>
      <c r="S5">
        <v>1.0249999999999999</v>
      </c>
      <c r="T5">
        <f>S5*0.6</f>
        <v>0.61499999999999988</v>
      </c>
      <c r="V5" t="s">
        <v>69</v>
      </c>
      <c r="W5">
        <f>334.96</f>
        <v>334.96</v>
      </c>
      <c r="X5">
        <f>W5*0.6*2</f>
        <v>401.95199999999994</v>
      </c>
    </row>
    <row r="6" spans="2:26" x14ac:dyDescent="0.25">
      <c r="D6" s="65">
        <f>D5</f>
        <v>348.47999999999996</v>
      </c>
      <c r="E6" s="67" t="s">
        <v>53</v>
      </c>
      <c r="G6">
        <v>1.35</v>
      </c>
      <c r="H6" t="s">
        <v>53</v>
      </c>
      <c r="O6" s="62">
        <f>O5</f>
        <v>7.2119999999999997</v>
      </c>
      <c r="S6">
        <v>3.39</v>
      </c>
      <c r="T6">
        <f t="shared" ref="T6:T7" si="0">S6*0.6</f>
        <v>2.0339999999999998</v>
      </c>
      <c r="W6">
        <f>334.96-0.9-0.9-0.9</f>
        <v>332.26000000000005</v>
      </c>
      <c r="X6">
        <f>W6*0.2</f>
        <v>66.452000000000012</v>
      </c>
      <c r="Y6" s="66"/>
      <c r="Z6" s="66"/>
    </row>
    <row r="7" spans="2:26" x14ac:dyDescent="0.25">
      <c r="J7">
        <f>3.15</f>
        <v>3.15</v>
      </c>
      <c r="K7">
        <f>J7*0.6</f>
        <v>1.89</v>
      </c>
      <c r="L7" t="s">
        <v>53</v>
      </c>
      <c r="M7">
        <f>SUM(K7:K16)</f>
        <v>15.899999999999999</v>
      </c>
      <c r="S7">
        <v>10.715</v>
      </c>
      <c r="T7">
        <f t="shared" si="0"/>
        <v>6.4289999999999994</v>
      </c>
    </row>
    <row r="8" spans="2:26" x14ac:dyDescent="0.25">
      <c r="G8">
        <v>1.32</v>
      </c>
      <c r="H8" t="s">
        <v>53</v>
      </c>
      <c r="J8">
        <v>3.35</v>
      </c>
      <c r="K8">
        <f>J8*0.6</f>
        <v>2.0099999999999998</v>
      </c>
      <c r="L8" t="s">
        <v>53</v>
      </c>
      <c r="M8">
        <f>7.5*5-(0.5*9)</f>
        <v>33</v>
      </c>
      <c r="T8" s="65">
        <f>SUM(T5:T7)</f>
        <v>9.0779999999999994</v>
      </c>
      <c r="X8" s="76">
        <f>SUM(X5:X7)</f>
        <v>468.40399999999994</v>
      </c>
    </row>
    <row r="9" spans="2:26" x14ac:dyDescent="0.25">
      <c r="G9">
        <v>2.6</v>
      </c>
      <c r="H9" t="s">
        <v>53</v>
      </c>
    </row>
    <row r="10" spans="2:26" x14ac:dyDescent="0.25">
      <c r="G10">
        <v>0.83</v>
      </c>
      <c r="H10" t="s">
        <v>53</v>
      </c>
      <c r="J10">
        <v>3.05</v>
      </c>
      <c r="K10">
        <f t="shared" ref="K10:K11" si="1">J10*0.6</f>
        <v>1.8299999999999998</v>
      </c>
      <c r="M10">
        <f>SUM(J7:J16)</f>
        <v>26.5</v>
      </c>
    </row>
    <row r="11" spans="2:26" x14ac:dyDescent="0.25">
      <c r="J11">
        <v>3.45</v>
      </c>
      <c r="K11">
        <f t="shared" si="1"/>
        <v>2.0699999999999998</v>
      </c>
      <c r="V11" t="s">
        <v>70</v>
      </c>
      <c r="W11">
        <v>49.3</v>
      </c>
      <c r="X11" s="65">
        <f>W11*0.6*2</f>
        <v>59.16</v>
      </c>
    </row>
    <row r="12" spans="2:26" x14ac:dyDescent="0.25">
      <c r="G12">
        <v>2.6</v>
      </c>
      <c r="H12" t="s">
        <v>53</v>
      </c>
      <c r="S12" s="26"/>
    </row>
    <row r="13" spans="2:26" x14ac:dyDescent="0.25">
      <c r="G13">
        <v>1.32</v>
      </c>
      <c r="H13" t="s">
        <v>53</v>
      </c>
      <c r="J13">
        <f>7</f>
        <v>7</v>
      </c>
      <c r="K13">
        <f>J13*0.6</f>
        <v>4.2</v>
      </c>
      <c r="S13" s="26"/>
      <c r="V13" t="s">
        <v>71</v>
      </c>
      <c r="W13">
        <v>8.6999999999999993</v>
      </c>
      <c r="X13" s="65">
        <f>W13*0.6*2</f>
        <v>10.44</v>
      </c>
    </row>
    <row r="14" spans="2:26" x14ac:dyDescent="0.25">
      <c r="G14">
        <v>0.83</v>
      </c>
      <c r="H14" t="s">
        <v>53</v>
      </c>
      <c r="S14" s="61"/>
    </row>
    <row r="15" spans="2:26" x14ac:dyDescent="0.25">
      <c r="J15">
        <f>1.525</f>
        <v>1.5249999999999999</v>
      </c>
      <c r="K15">
        <f>J15*0.6</f>
        <v>0.91499999999999992</v>
      </c>
      <c r="S15" s="61"/>
      <c r="V15" t="s">
        <v>72</v>
      </c>
      <c r="W15">
        <v>15</v>
      </c>
      <c r="X15" s="65">
        <f>W15*0.6*2</f>
        <v>18</v>
      </c>
    </row>
    <row r="16" spans="2:26" x14ac:dyDescent="0.25">
      <c r="G16">
        <v>0.98</v>
      </c>
      <c r="H16" t="s">
        <v>53</v>
      </c>
      <c r="J16">
        <v>4.9749999999999996</v>
      </c>
      <c r="K16">
        <f>J16*0.6</f>
        <v>2.9849999999999999</v>
      </c>
    </row>
    <row r="17" spans="7:11" x14ac:dyDescent="0.25">
      <c r="G17">
        <v>4.2699999999999996</v>
      </c>
      <c r="H17" t="s">
        <v>53</v>
      </c>
    </row>
    <row r="18" spans="7:11" x14ac:dyDescent="0.25">
      <c r="J18">
        <v>3.05</v>
      </c>
      <c r="K18">
        <f t="shared" ref="K18:K19" si="2">J18*0.6</f>
        <v>1.8299999999999998</v>
      </c>
    </row>
    <row r="19" spans="7:11" x14ac:dyDescent="0.25">
      <c r="G19">
        <v>0.98</v>
      </c>
      <c r="H19" t="s">
        <v>53</v>
      </c>
      <c r="J19">
        <v>3.45</v>
      </c>
      <c r="K19">
        <f t="shared" si="2"/>
        <v>2.0699999999999998</v>
      </c>
    </row>
    <row r="20" spans="7:11" x14ac:dyDescent="0.25">
      <c r="G20">
        <v>4.2699999999999996</v>
      </c>
      <c r="H20" t="s">
        <v>53</v>
      </c>
      <c r="K20" s="65">
        <f>SUM(K5:K19)</f>
        <v>46.8</v>
      </c>
    </row>
    <row r="21" spans="7:11" x14ac:dyDescent="0.25">
      <c r="K21" s="67"/>
    </row>
    <row r="22" spans="7:11" x14ac:dyDescent="0.25">
      <c r="G22">
        <f>2.6*40</f>
        <v>104</v>
      </c>
      <c r="H22" t="s">
        <v>53</v>
      </c>
    </row>
    <row r="23" spans="7:11" x14ac:dyDescent="0.25">
      <c r="G23">
        <f>3*35</f>
        <v>105</v>
      </c>
      <c r="H23" t="s">
        <v>53</v>
      </c>
    </row>
    <row r="25" spans="7:11" x14ac:dyDescent="0.25">
      <c r="G25">
        <v>2.7</v>
      </c>
      <c r="H25" t="s">
        <v>53</v>
      </c>
    </row>
    <row r="26" spans="7:11" x14ac:dyDescent="0.25">
      <c r="G26">
        <v>2.9</v>
      </c>
      <c r="H26" t="s">
        <v>53</v>
      </c>
    </row>
    <row r="28" spans="7:11" x14ac:dyDescent="0.25">
      <c r="G28">
        <v>4.45</v>
      </c>
      <c r="H28" t="s">
        <v>53</v>
      </c>
    </row>
    <row r="29" spans="7:11" x14ac:dyDescent="0.25">
      <c r="G29">
        <v>1.1499999999999999</v>
      </c>
      <c r="H29" t="s">
        <v>53</v>
      </c>
    </row>
    <row r="31" spans="7:11" x14ac:dyDescent="0.25">
      <c r="G31">
        <v>2.7</v>
      </c>
      <c r="H31" t="s">
        <v>53</v>
      </c>
    </row>
    <row r="32" spans="7:11" x14ac:dyDescent="0.25">
      <c r="G32">
        <v>1.2</v>
      </c>
      <c r="H32" t="s">
        <v>53</v>
      </c>
    </row>
    <row r="33" spans="7:8" x14ac:dyDescent="0.25">
      <c r="G33">
        <v>1.1000000000000001</v>
      </c>
      <c r="H33" t="s">
        <v>53</v>
      </c>
    </row>
    <row r="35" spans="7:8" x14ac:dyDescent="0.25">
      <c r="G35">
        <v>6</v>
      </c>
      <c r="H35" t="s">
        <v>53</v>
      </c>
    </row>
    <row r="37" spans="7:8" x14ac:dyDescent="0.25">
      <c r="G37">
        <v>6.1</v>
      </c>
      <c r="H37" t="s">
        <v>53</v>
      </c>
    </row>
    <row r="39" spans="7:8" x14ac:dyDescent="0.25">
      <c r="G39">
        <v>4.42</v>
      </c>
      <c r="H39" t="s">
        <v>53</v>
      </c>
    </row>
    <row r="40" spans="7:8" x14ac:dyDescent="0.25">
      <c r="G40">
        <v>0.83</v>
      </c>
      <c r="H40" t="s">
        <v>53</v>
      </c>
    </row>
    <row r="42" spans="7:8" x14ac:dyDescent="0.25">
      <c r="G42">
        <v>0.83</v>
      </c>
      <c r="H42" t="s">
        <v>53</v>
      </c>
    </row>
    <row r="43" spans="7:8" x14ac:dyDescent="0.25">
      <c r="G43">
        <v>1.32</v>
      </c>
      <c r="H43" t="s">
        <v>53</v>
      </c>
    </row>
    <row r="45" spans="7:8" x14ac:dyDescent="0.25">
      <c r="G45">
        <v>4.2699999999999996</v>
      </c>
      <c r="H45" t="s">
        <v>53</v>
      </c>
    </row>
    <row r="46" spans="7:8" x14ac:dyDescent="0.25">
      <c r="G46">
        <v>0.98</v>
      </c>
      <c r="H46" t="s">
        <v>53</v>
      </c>
    </row>
    <row r="48" spans="7:8" x14ac:dyDescent="0.25">
      <c r="G48">
        <v>0.98</v>
      </c>
      <c r="H48" t="s">
        <v>53</v>
      </c>
    </row>
    <row r="49" spans="7:8" x14ac:dyDescent="0.25">
      <c r="G49">
        <v>4.2699999999999996</v>
      </c>
      <c r="H49" t="s">
        <v>53</v>
      </c>
    </row>
    <row r="51" spans="7:8" x14ac:dyDescent="0.25">
      <c r="G51">
        <v>1.32</v>
      </c>
      <c r="H51" t="s">
        <v>53</v>
      </c>
    </row>
    <row r="52" spans="7:8" x14ac:dyDescent="0.25">
      <c r="G52">
        <v>0.83</v>
      </c>
      <c r="H52" t="s">
        <v>53</v>
      </c>
    </row>
    <row r="54" spans="7:8" x14ac:dyDescent="0.25">
      <c r="G54">
        <v>0.83</v>
      </c>
      <c r="H54" t="s">
        <v>53</v>
      </c>
    </row>
    <row r="55" spans="7:8" x14ac:dyDescent="0.25">
      <c r="G55">
        <v>1.32</v>
      </c>
      <c r="H55" t="s">
        <v>53</v>
      </c>
    </row>
    <row r="57" spans="7:8" x14ac:dyDescent="0.25">
      <c r="G57">
        <v>4.2699999999999996</v>
      </c>
      <c r="H57" t="s">
        <v>53</v>
      </c>
    </row>
    <row r="58" spans="7:8" x14ac:dyDescent="0.25">
      <c r="G58">
        <v>0.98</v>
      </c>
      <c r="H58" t="s">
        <v>53</v>
      </c>
    </row>
    <row r="60" spans="7:8" x14ac:dyDescent="0.25">
      <c r="G60">
        <v>0.98</v>
      </c>
      <c r="H60" t="s">
        <v>53</v>
      </c>
    </row>
    <row r="61" spans="7:8" x14ac:dyDescent="0.25">
      <c r="G61">
        <v>4.2699999999999996</v>
      </c>
      <c r="H61" t="s">
        <v>53</v>
      </c>
    </row>
    <row r="63" spans="7:8" x14ac:dyDescent="0.25">
      <c r="G63">
        <v>1.35</v>
      </c>
      <c r="H63" t="s">
        <v>53</v>
      </c>
    </row>
    <row r="64" spans="7:8" x14ac:dyDescent="0.25">
      <c r="G64">
        <v>4.25</v>
      </c>
      <c r="H64" t="s">
        <v>53</v>
      </c>
    </row>
    <row r="66" spans="7:8" x14ac:dyDescent="0.25">
      <c r="G66">
        <v>1.32</v>
      </c>
      <c r="H66" t="s">
        <v>53</v>
      </c>
    </row>
    <row r="67" spans="7:8" x14ac:dyDescent="0.25">
      <c r="G67">
        <v>0.83</v>
      </c>
      <c r="H67" t="s">
        <v>53</v>
      </c>
    </row>
    <row r="69" spans="7:8" x14ac:dyDescent="0.25">
      <c r="G69">
        <v>0.83</v>
      </c>
      <c r="H69" t="s">
        <v>53</v>
      </c>
    </row>
    <row r="70" spans="7:8" x14ac:dyDescent="0.25">
      <c r="G70">
        <v>1.32</v>
      </c>
      <c r="H70" t="s">
        <v>53</v>
      </c>
    </row>
    <row r="72" spans="7:8" x14ac:dyDescent="0.25">
      <c r="G72">
        <v>4.2699999999999996</v>
      </c>
      <c r="H72" t="s">
        <v>53</v>
      </c>
    </row>
    <row r="73" spans="7:8" x14ac:dyDescent="0.25">
      <c r="G73">
        <v>0.98</v>
      </c>
      <c r="H73" t="s">
        <v>53</v>
      </c>
    </row>
    <row r="75" spans="7:8" x14ac:dyDescent="0.25">
      <c r="G75">
        <v>0.98</v>
      </c>
      <c r="H75" t="s">
        <v>53</v>
      </c>
    </row>
    <row r="76" spans="7:8" x14ac:dyDescent="0.25">
      <c r="G76">
        <v>4.2699999999999996</v>
      </c>
      <c r="H76" t="s">
        <v>53</v>
      </c>
    </row>
    <row r="78" spans="7:8" x14ac:dyDescent="0.25">
      <c r="G78">
        <v>4.25</v>
      </c>
      <c r="H78" t="s">
        <v>53</v>
      </c>
    </row>
    <row r="79" spans="7:8" x14ac:dyDescent="0.25">
      <c r="G79">
        <v>1.35</v>
      </c>
      <c r="H79" t="s">
        <v>53</v>
      </c>
    </row>
    <row r="81" spans="7:8" x14ac:dyDescent="0.25">
      <c r="G81">
        <f>4.25*2</f>
        <v>8.5</v>
      </c>
      <c r="H81" t="s">
        <v>53</v>
      </c>
    </row>
    <row r="82" spans="7:8" x14ac:dyDescent="0.25">
      <c r="G82">
        <f>1.35*2</f>
        <v>2.7</v>
      </c>
      <c r="H82" t="s">
        <v>53</v>
      </c>
    </row>
    <row r="84" spans="7:8" x14ac:dyDescent="0.25">
      <c r="G84">
        <f>3*12</f>
        <v>36</v>
      </c>
      <c r="H84" t="s">
        <v>53</v>
      </c>
    </row>
    <row r="85" spans="7:8" x14ac:dyDescent="0.25">
      <c r="G85">
        <f>2.6*16</f>
        <v>41.6</v>
      </c>
      <c r="H85" t="s">
        <v>53</v>
      </c>
    </row>
    <row r="87" spans="7:8" x14ac:dyDescent="0.25">
      <c r="G87">
        <v>1.35</v>
      </c>
      <c r="H87" t="s">
        <v>53</v>
      </c>
    </row>
    <row r="88" spans="7:8" x14ac:dyDescent="0.25">
      <c r="G88">
        <v>4.25</v>
      </c>
      <c r="H88" t="s">
        <v>53</v>
      </c>
    </row>
    <row r="90" spans="7:8" x14ac:dyDescent="0.25">
      <c r="G90">
        <v>1.625</v>
      </c>
      <c r="H90" t="s">
        <v>53</v>
      </c>
    </row>
    <row r="91" spans="7:8" x14ac:dyDescent="0.25">
      <c r="G91">
        <v>3.9750000000000001</v>
      </c>
      <c r="H91" t="s">
        <v>53</v>
      </c>
    </row>
    <row r="93" spans="7:8" x14ac:dyDescent="0.25">
      <c r="G93">
        <v>2.6</v>
      </c>
      <c r="H93" t="s">
        <v>53</v>
      </c>
    </row>
    <row r="94" spans="7:8" x14ac:dyDescent="0.25">
      <c r="G94">
        <v>1.32</v>
      </c>
      <c r="H94" t="s">
        <v>53</v>
      </c>
    </row>
    <row r="95" spans="7:8" x14ac:dyDescent="0.25">
      <c r="G95">
        <v>0.83</v>
      </c>
      <c r="H95" t="s">
        <v>53</v>
      </c>
    </row>
    <row r="97" spans="7:8" x14ac:dyDescent="0.25">
      <c r="G97">
        <v>4.2699999999999996</v>
      </c>
      <c r="H97" t="s">
        <v>53</v>
      </c>
    </row>
    <row r="98" spans="7:8" x14ac:dyDescent="0.25">
      <c r="G98">
        <v>0.98</v>
      </c>
      <c r="H98" t="s">
        <v>53</v>
      </c>
    </row>
    <row r="100" spans="7:8" x14ac:dyDescent="0.25">
      <c r="G100">
        <v>0.98</v>
      </c>
      <c r="H100" t="s">
        <v>53</v>
      </c>
    </row>
    <row r="101" spans="7:8" x14ac:dyDescent="0.25">
      <c r="G101">
        <v>4.2699999999999996</v>
      </c>
      <c r="H101" t="s">
        <v>53</v>
      </c>
    </row>
    <row r="103" spans="7:8" x14ac:dyDescent="0.25">
      <c r="G103">
        <v>0.83</v>
      </c>
      <c r="H103" t="s">
        <v>53</v>
      </c>
    </row>
    <row r="104" spans="7:8" x14ac:dyDescent="0.25">
      <c r="G104">
        <v>4.42</v>
      </c>
      <c r="H104" t="s">
        <v>53</v>
      </c>
    </row>
    <row r="106" spans="7:8" x14ac:dyDescent="0.25">
      <c r="G106">
        <v>6.1</v>
      </c>
      <c r="H106" t="s">
        <v>53</v>
      </c>
    </row>
    <row r="108" spans="7:8" x14ac:dyDescent="0.25">
      <c r="G108">
        <f>6*2</f>
        <v>12</v>
      </c>
      <c r="H108" t="s">
        <v>53</v>
      </c>
    </row>
    <row r="110" spans="7:8" x14ac:dyDescent="0.25">
      <c r="G110">
        <f>2.7*5</f>
        <v>13.5</v>
      </c>
      <c r="H110" t="s">
        <v>53</v>
      </c>
    </row>
    <row r="111" spans="7:8" x14ac:dyDescent="0.25">
      <c r="G111">
        <f>2.9*5</f>
        <v>14.5</v>
      </c>
      <c r="H111" t="s">
        <v>53</v>
      </c>
    </row>
    <row r="113" spans="1:8" x14ac:dyDescent="0.25">
      <c r="G113">
        <f>3*2</f>
        <v>6</v>
      </c>
      <c r="H113" t="s">
        <v>53</v>
      </c>
    </row>
    <row r="115" spans="1:8" x14ac:dyDescent="0.25">
      <c r="G115">
        <v>1.35</v>
      </c>
      <c r="H115" t="s">
        <v>53</v>
      </c>
    </row>
    <row r="116" spans="1:8" x14ac:dyDescent="0.25">
      <c r="G116">
        <v>4.25</v>
      </c>
      <c r="H116" t="s">
        <v>53</v>
      </c>
    </row>
    <row r="118" spans="1:8" x14ac:dyDescent="0.25">
      <c r="G118">
        <f>3*2</f>
        <v>6</v>
      </c>
      <c r="H118" t="s">
        <v>53</v>
      </c>
    </row>
    <row r="119" spans="1:8" x14ac:dyDescent="0.25">
      <c r="G119" s="65">
        <f>SUM(G5:G118)*0.6</f>
        <v>303.48</v>
      </c>
      <c r="H119" s="67"/>
    </row>
    <row r="120" spans="1:8" x14ac:dyDescent="0.25">
      <c r="G120" s="67"/>
    </row>
    <row r="121" spans="1:8" x14ac:dyDescent="0.25">
      <c r="G121">
        <f>92*6.6</f>
        <v>607.19999999999993</v>
      </c>
      <c r="H121">
        <f>G121-G122</f>
        <v>525.19999999999993</v>
      </c>
    </row>
    <row r="122" spans="1:8" x14ac:dyDescent="0.25">
      <c r="B122" s="26"/>
      <c r="G122">
        <f>164*0.5</f>
        <v>82</v>
      </c>
    </row>
    <row r="123" spans="1:8" x14ac:dyDescent="0.25">
      <c r="B123" s="26"/>
      <c r="G123">
        <f>4*0.6</f>
        <v>2.4</v>
      </c>
    </row>
    <row r="124" spans="1:8" x14ac:dyDescent="0.25">
      <c r="A124" s="26"/>
      <c r="G124">
        <f>0.85*20</f>
        <v>17</v>
      </c>
    </row>
    <row r="125" spans="1:8" x14ac:dyDescent="0.25">
      <c r="C125" s="26"/>
      <c r="G125" s="29">
        <f>(G121-G122-G124-G123)*0.6</f>
        <v>303.47999999999996</v>
      </c>
    </row>
    <row r="127" spans="1:8" x14ac:dyDescent="0.25">
      <c r="G127" s="26"/>
    </row>
    <row r="130" spans="2:11" x14ac:dyDescent="0.25">
      <c r="B130" s="1" t="str">
        <f>B5</f>
        <v>Рм1</v>
      </c>
      <c r="C130" s="1" t="str">
        <f>F5</f>
        <v>Рм2</v>
      </c>
      <c r="D130" s="1" t="str">
        <f>I5</f>
        <v>Рм3</v>
      </c>
      <c r="E130" s="1" t="str">
        <f>M5</f>
        <v>Рм4</v>
      </c>
      <c r="F130" s="1" t="str">
        <f>R5</f>
        <v>Рм5</v>
      </c>
      <c r="G130" s="1" t="str">
        <f>V5</f>
        <v>Рлм-1</v>
      </c>
      <c r="H130" s="1" t="str">
        <f>V11</f>
        <v>Рлм-2</v>
      </c>
      <c r="I130" s="1" t="str">
        <f>V13</f>
        <v>Рлм-3</v>
      </c>
      <c r="J130" s="1" t="str">
        <f>V15</f>
        <v>Рлм-4</v>
      </c>
    </row>
    <row r="131" spans="2:11" x14ac:dyDescent="0.25">
      <c r="B131" s="1">
        <f>D6</f>
        <v>348.47999999999996</v>
      </c>
      <c r="C131" s="1">
        <f>G119</f>
        <v>303.48</v>
      </c>
      <c r="D131" s="1">
        <f>K20</f>
        <v>46.8</v>
      </c>
      <c r="E131" s="1">
        <f>P5</f>
        <v>7.2119999999999997</v>
      </c>
      <c r="F131" s="1">
        <f>T8</f>
        <v>9.0779999999999994</v>
      </c>
      <c r="G131" s="97">
        <f>X8</f>
        <v>468.40399999999994</v>
      </c>
      <c r="H131" s="1">
        <f>X11</f>
        <v>59.16</v>
      </c>
      <c r="I131" s="1">
        <f>X13</f>
        <v>10.44</v>
      </c>
      <c r="J131" s="1">
        <f>X15</f>
        <v>18</v>
      </c>
      <c r="K131" s="26">
        <f>SUM(B131:J131)</f>
        <v>1271.0540000000001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zoomScale="145" zoomScaleNormal="145" workbookViewId="0">
      <selection activeCell="D5" sqref="D5"/>
    </sheetView>
  </sheetViews>
  <sheetFormatPr defaultRowHeight="12.75" x14ac:dyDescent="0.2"/>
  <cols>
    <col min="1" max="1" width="9.140625" style="3"/>
    <col min="2" max="2" width="35.5703125" style="3" customWidth="1"/>
    <col min="3" max="16384" width="9.140625" style="3"/>
  </cols>
  <sheetData>
    <row r="2" spans="1:7" ht="13.5" thickBot="1" x14ac:dyDescent="0.25"/>
    <row r="3" spans="1:7" ht="13.5" thickTop="1" x14ac:dyDescent="0.2">
      <c r="B3" s="10" t="s">
        <v>6</v>
      </c>
      <c r="C3" s="11" t="s">
        <v>7</v>
      </c>
      <c r="D3" s="177" t="s">
        <v>9</v>
      </c>
      <c r="E3" s="178"/>
    </row>
    <row r="4" spans="1:7" x14ac:dyDescent="0.2">
      <c r="B4" s="175" t="s">
        <v>8</v>
      </c>
      <c r="C4" s="176"/>
      <c r="D4" s="6">
        <v>1</v>
      </c>
      <c r="E4" s="12">
        <v>88</v>
      </c>
    </row>
    <row r="5" spans="1:7" x14ac:dyDescent="0.2">
      <c r="B5" s="13" t="s">
        <v>2</v>
      </c>
      <c r="C5" s="5" t="s">
        <v>1</v>
      </c>
      <c r="D5" s="60">
        <f>(1.65+0.1+0.1)*(1.65+0.1+0.1)*0.1</f>
        <v>0.34225000000000005</v>
      </c>
      <c r="E5" s="14">
        <f>D5*E4</f>
        <v>30.118000000000006</v>
      </c>
      <c r="F5" s="3">
        <v>0.34</v>
      </c>
      <c r="G5" s="3">
        <f>F5*E4</f>
        <v>29.92</v>
      </c>
    </row>
    <row r="6" spans="1:7" x14ac:dyDescent="0.2">
      <c r="B6" s="13" t="s">
        <v>3</v>
      </c>
      <c r="C6" s="5" t="s">
        <v>1</v>
      </c>
      <c r="D6" s="7">
        <f>1.65*1.65*0.6</f>
        <v>1.6334999999999997</v>
      </c>
      <c r="E6" s="14">
        <f>D6*E4</f>
        <v>143.74799999999999</v>
      </c>
    </row>
    <row r="7" spans="1:7" x14ac:dyDescent="0.2">
      <c r="B7" s="173" t="s">
        <v>10</v>
      </c>
      <c r="C7" s="5" t="s">
        <v>5</v>
      </c>
      <c r="D7" s="6">
        <v>4</v>
      </c>
      <c r="E7" s="15">
        <f>D7*E4</f>
        <v>352</v>
      </c>
    </row>
    <row r="8" spans="1:7" x14ac:dyDescent="0.2">
      <c r="A8" s="4">
        <f>ROUND((1.57*2*0.888)+(0.5*9*0.888),3)</f>
        <v>6.7839999999999998</v>
      </c>
      <c r="B8" s="173"/>
      <c r="C8" s="5" t="s">
        <v>4</v>
      </c>
      <c r="D8" s="8">
        <f>A8*D7/1000</f>
        <v>2.7136E-2</v>
      </c>
      <c r="E8" s="16">
        <f>D8*E4</f>
        <v>2.3879679999999999</v>
      </c>
    </row>
    <row r="9" spans="1:7" x14ac:dyDescent="0.2">
      <c r="B9" s="173" t="s">
        <v>40</v>
      </c>
      <c r="C9" s="5" t="s">
        <v>5</v>
      </c>
      <c r="D9" s="6">
        <v>2</v>
      </c>
      <c r="E9" s="15">
        <f>D9*E4</f>
        <v>176</v>
      </c>
    </row>
    <row r="10" spans="1:7" ht="13.5" thickBot="1" x14ac:dyDescent="0.25">
      <c r="A10" s="4">
        <f>ROUND((1.57*1.208*18),3)</f>
        <v>34.137999999999998</v>
      </c>
      <c r="B10" s="174"/>
      <c r="C10" s="17" t="s">
        <v>4</v>
      </c>
      <c r="D10" s="18">
        <f>A10*D9/1000</f>
        <v>6.8275999999999989E-2</v>
      </c>
      <c r="E10" s="19">
        <f>D10*E4</f>
        <v>6.0082879999999994</v>
      </c>
    </row>
    <row r="11" spans="1:7" ht="13.5" thickTop="1" x14ac:dyDescent="0.2"/>
    <row r="12" spans="1:7" ht="13.5" thickBot="1" x14ac:dyDescent="0.25"/>
    <row r="13" spans="1:7" ht="13.5" thickTop="1" x14ac:dyDescent="0.2">
      <c r="B13" s="10" t="s">
        <v>6</v>
      </c>
      <c r="C13" s="11" t="s">
        <v>7</v>
      </c>
      <c r="D13" s="177" t="s">
        <v>9</v>
      </c>
      <c r="E13" s="178"/>
    </row>
    <row r="14" spans="1:7" x14ac:dyDescent="0.2">
      <c r="B14" s="175" t="s">
        <v>11</v>
      </c>
      <c r="C14" s="176"/>
      <c r="D14" s="6">
        <v>1</v>
      </c>
      <c r="E14" s="12">
        <v>79</v>
      </c>
    </row>
    <row r="15" spans="1:7" x14ac:dyDescent="0.2">
      <c r="B15" s="13" t="s">
        <v>2</v>
      </c>
      <c r="C15" s="5" t="s">
        <v>1</v>
      </c>
      <c r="D15" s="7">
        <f>1.85*1.85*0.1</f>
        <v>0.34225000000000005</v>
      </c>
      <c r="E15" s="14">
        <f>D15*E14</f>
        <v>27.037750000000003</v>
      </c>
    </row>
    <row r="16" spans="1:7" x14ac:dyDescent="0.2">
      <c r="B16" s="13" t="s">
        <v>3</v>
      </c>
      <c r="C16" s="5" t="s">
        <v>1</v>
      </c>
      <c r="D16" s="7">
        <f>1.65*1.65*0.6</f>
        <v>1.6334999999999997</v>
      </c>
      <c r="E16" s="14">
        <f>D16*E14</f>
        <v>129.04649999999998</v>
      </c>
    </row>
    <row r="17" spans="1:5" x14ac:dyDescent="0.2">
      <c r="B17" s="173" t="s">
        <v>10</v>
      </c>
      <c r="C17" s="5" t="s">
        <v>5</v>
      </c>
      <c r="D17" s="6">
        <v>4</v>
      </c>
      <c r="E17" s="20">
        <f>D17*E14</f>
        <v>316</v>
      </c>
    </row>
    <row r="18" spans="1:5" x14ac:dyDescent="0.2">
      <c r="A18" s="4">
        <f>ROUND((1.57*2*0.888)+(0.5*9*0.888),3)</f>
        <v>6.7839999999999998</v>
      </c>
      <c r="B18" s="173"/>
      <c r="C18" s="5" t="s">
        <v>4</v>
      </c>
      <c r="D18" s="8">
        <f>A18*D17/1000</f>
        <v>2.7136E-2</v>
      </c>
      <c r="E18" s="21">
        <f>D18*E14</f>
        <v>2.1437439999999999</v>
      </c>
    </row>
    <row r="19" spans="1:5" x14ac:dyDescent="0.2">
      <c r="B19" s="173" t="s">
        <v>12</v>
      </c>
      <c r="C19" s="5" t="s">
        <v>5</v>
      </c>
      <c r="D19" s="5">
        <v>2</v>
      </c>
      <c r="E19" s="20">
        <f>D19*E14</f>
        <v>158</v>
      </c>
    </row>
    <row r="20" spans="1:5" ht="13.5" thickBot="1" x14ac:dyDescent="0.25">
      <c r="A20" s="4">
        <f>ROUND((1.57*1.208*22),3)</f>
        <v>41.723999999999997</v>
      </c>
      <c r="B20" s="174"/>
      <c r="C20" s="17" t="s">
        <v>4</v>
      </c>
      <c r="D20" s="18">
        <f>D19*A20/1000</f>
        <v>8.3447999999999994E-2</v>
      </c>
      <c r="E20" s="22">
        <f>D20*E14</f>
        <v>6.5923919999999994</v>
      </c>
    </row>
    <row r="21" spans="1:5" ht="13.5" thickTop="1" x14ac:dyDescent="0.2"/>
    <row r="22" spans="1:5" ht="13.5" thickBot="1" x14ac:dyDescent="0.25"/>
    <row r="23" spans="1:5" ht="13.5" thickTop="1" x14ac:dyDescent="0.2">
      <c r="B23" s="10" t="s">
        <v>6</v>
      </c>
      <c r="C23" s="11" t="s">
        <v>7</v>
      </c>
      <c r="D23" s="177" t="s">
        <v>9</v>
      </c>
      <c r="E23" s="178"/>
    </row>
    <row r="24" spans="1:5" x14ac:dyDescent="0.2">
      <c r="B24" s="175" t="s">
        <v>13</v>
      </c>
      <c r="C24" s="176"/>
      <c r="D24" s="6">
        <v>1</v>
      </c>
      <c r="E24" s="12">
        <v>11</v>
      </c>
    </row>
    <row r="25" spans="1:5" x14ac:dyDescent="0.2">
      <c r="B25" s="13" t="s">
        <v>2</v>
      </c>
      <c r="C25" s="5" t="s">
        <v>1</v>
      </c>
      <c r="D25" s="7">
        <f>1.85*(2.1+0.1+0.1)*0.1</f>
        <v>0.4255000000000001</v>
      </c>
      <c r="E25" s="7">
        <f>D25*E24</f>
        <v>4.6805000000000012</v>
      </c>
    </row>
    <row r="26" spans="1:5" x14ac:dyDescent="0.2">
      <c r="B26" s="13" t="s">
        <v>3</v>
      </c>
      <c r="C26" s="5" t="s">
        <v>1</v>
      </c>
      <c r="D26" s="7">
        <f>1.65*2.1*0.6</f>
        <v>2.0789999999999997</v>
      </c>
      <c r="E26" s="7">
        <f>D26*E24</f>
        <v>22.868999999999996</v>
      </c>
    </row>
    <row r="27" spans="1:5" x14ac:dyDescent="0.2">
      <c r="B27" s="173" t="s">
        <v>10</v>
      </c>
      <c r="C27" s="5" t="s">
        <v>5</v>
      </c>
      <c r="D27" s="6">
        <v>2</v>
      </c>
      <c r="E27" s="6">
        <f>D27*E24</f>
        <v>22</v>
      </c>
    </row>
    <row r="28" spans="1:5" x14ac:dyDescent="0.2">
      <c r="A28" s="4">
        <f>ROUND((1.57*2*0.888)+(0.5*9*0.888),3)</f>
        <v>6.7839999999999998</v>
      </c>
      <c r="B28" s="173"/>
      <c r="C28" s="5" t="s">
        <v>4</v>
      </c>
      <c r="D28" s="8">
        <f>D27*A28/1000</f>
        <v>1.3568E-2</v>
      </c>
      <c r="E28" s="8">
        <f>D28*E24</f>
        <v>0.14924799999999999</v>
      </c>
    </row>
    <row r="29" spans="1:5" x14ac:dyDescent="0.2">
      <c r="B29" s="173" t="s">
        <v>14</v>
      </c>
      <c r="C29" s="5" t="s">
        <v>5</v>
      </c>
      <c r="D29" s="9">
        <v>2</v>
      </c>
      <c r="E29" s="9">
        <f>D29*E24</f>
        <v>22</v>
      </c>
    </row>
    <row r="30" spans="1:5" x14ac:dyDescent="0.2">
      <c r="A30" s="4">
        <f>ROUND((2.02*2*0.888)+(0.5*11*0.888),3)</f>
        <v>8.4719999999999995</v>
      </c>
      <c r="B30" s="173"/>
      <c r="C30" s="5" t="s">
        <v>4</v>
      </c>
      <c r="D30" s="8">
        <f>D29*A30/1000</f>
        <v>1.6944000000000001E-2</v>
      </c>
      <c r="E30" s="45">
        <f>D30*E24</f>
        <v>0.18638399999999999</v>
      </c>
    </row>
    <row r="31" spans="1:5" x14ac:dyDescent="0.2">
      <c r="B31" s="173" t="s">
        <v>15</v>
      </c>
      <c r="C31" s="5" t="s">
        <v>5</v>
      </c>
      <c r="D31" s="5">
        <v>2</v>
      </c>
      <c r="E31" s="5">
        <f>D31*E24</f>
        <v>22</v>
      </c>
    </row>
    <row r="32" spans="1:5" ht="13.5" thickBot="1" x14ac:dyDescent="0.25">
      <c r="A32" s="4">
        <f>ROUND((2.02*9*1.208+1.57*11*1.208),3)</f>
        <v>42.823999999999998</v>
      </c>
      <c r="B32" s="174"/>
      <c r="C32" s="17" t="s">
        <v>4</v>
      </c>
      <c r="D32" s="8">
        <f>D31*A32/1000</f>
        <v>8.5648000000000002E-2</v>
      </c>
      <c r="E32" s="8">
        <f>D32*E24</f>
        <v>0.94212800000000008</v>
      </c>
    </row>
    <row r="33" spans="1:6" ht="13.5" thickTop="1" x14ac:dyDescent="0.2"/>
    <row r="34" spans="1:6" ht="13.5" thickBot="1" x14ac:dyDescent="0.25"/>
    <row r="35" spans="1:6" ht="13.5" thickTop="1" x14ac:dyDescent="0.2">
      <c r="B35" s="10" t="s">
        <v>6</v>
      </c>
      <c r="C35" s="11" t="s">
        <v>7</v>
      </c>
      <c r="D35" s="177" t="s">
        <v>9</v>
      </c>
      <c r="E35" s="178"/>
    </row>
    <row r="36" spans="1:6" x14ac:dyDescent="0.2">
      <c r="B36" s="175" t="s">
        <v>16</v>
      </c>
      <c r="C36" s="176"/>
      <c r="D36" s="6">
        <v>1</v>
      </c>
      <c r="E36" s="12">
        <v>1</v>
      </c>
    </row>
    <row r="37" spans="1:6" x14ac:dyDescent="0.2">
      <c r="B37" s="13" t="s">
        <v>2</v>
      </c>
      <c r="C37" s="5" t="s">
        <v>1</v>
      </c>
      <c r="D37" s="7">
        <f>(3.48+0.1+0.1)*(2.53+0.1+0.1)*0.1</f>
        <v>1.00464</v>
      </c>
      <c r="E37" s="14">
        <f>D37*E36</f>
        <v>1.00464</v>
      </c>
    </row>
    <row r="38" spans="1:6" x14ac:dyDescent="0.2">
      <c r="B38" s="13" t="s">
        <v>3</v>
      </c>
      <c r="C38" s="5" t="s">
        <v>1</v>
      </c>
      <c r="D38" s="7">
        <f>3.48*2.53*0.6</f>
        <v>5.2826399999999998</v>
      </c>
      <c r="E38" s="14">
        <f>D38*E36</f>
        <v>5.2826399999999998</v>
      </c>
    </row>
    <row r="39" spans="1:6" x14ac:dyDescent="0.2">
      <c r="B39" s="173" t="s">
        <v>21</v>
      </c>
      <c r="C39" s="5" t="s">
        <v>5</v>
      </c>
      <c r="D39" s="9">
        <v>6</v>
      </c>
      <c r="E39" s="23">
        <f>D39*E36</f>
        <v>6</v>
      </c>
    </row>
    <row r="40" spans="1:6" x14ac:dyDescent="0.2">
      <c r="A40" s="4">
        <f>ROUND((2.45*2*0.888)+(0.5*13*0.888),3)</f>
        <v>10.122999999999999</v>
      </c>
      <c r="B40" s="173"/>
      <c r="C40" s="5" t="s">
        <v>4</v>
      </c>
      <c r="D40" s="8">
        <f>D39*A40/1000</f>
        <v>6.0738E-2</v>
      </c>
      <c r="E40" s="21">
        <f>D40*E36</f>
        <v>6.0738E-2</v>
      </c>
    </row>
    <row r="41" spans="1:6" x14ac:dyDescent="0.2">
      <c r="B41" s="173" t="s">
        <v>17</v>
      </c>
      <c r="C41" s="5" t="s">
        <v>5</v>
      </c>
      <c r="D41" s="9">
        <v>2</v>
      </c>
      <c r="E41" s="23">
        <f>D41*E36</f>
        <v>2</v>
      </c>
    </row>
    <row r="42" spans="1:6" x14ac:dyDescent="0.2">
      <c r="A42" s="4">
        <f>ROUND((3.4*2*0.888)+(0.5*18*0.888),3)</f>
        <v>14.03</v>
      </c>
      <c r="B42" s="173"/>
      <c r="C42" s="5" t="s">
        <v>4</v>
      </c>
      <c r="D42" s="8">
        <f>D41*A42/1000</f>
        <v>2.8059999999999998E-2</v>
      </c>
      <c r="E42" s="21">
        <f>D42*E36</f>
        <v>2.8059999999999998E-2</v>
      </c>
    </row>
    <row r="43" spans="1:6" x14ac:dyDescent="0.2">
      <c r="B43" s="173" t="s">
        <v>18</v>
      </c>
      <c r="C43" s="5" t="s">
        <v>5</v>
      </c>
      <c r="D43" s="5">
        <v>2</v>
      </c>
      <c r="E43" s="15">
        <f>D43*E36</f>
        <v>2</v>
      </c>
    </row>
    <row r="44" spans="1:6" x14ac:dyDescent="0.2">
      <c r="A44" s="4">
        <f>ROUND((3.4*13*1.208+2.45*18*1.208),3)</f>
        <v>106.666</v>
      </c>
      <c r="B44" s="173"/>
      <c r="C44" s="5" t="s">
        <v>4</v>
      </c>
      <c r="D44" s="8">
        <f>D43*A44/1000</f>
        <v>0.21333199999999999</v>
      </c>
      <c r="E44" s="21">
        <f>D44*E36</f>
        <v>0.21333199999999999</v>
      </c>
    </row>
    <row r="45" spans="1:6" x14ac:dyDescent="0.2">
      <c r="A45" s="4"/>
      <c r="B45" s="173" t="s">
        <v>24</v>
      </c>
      <c r="C45" s="6" t="s">
        <v>5</v>
      </c>
      <c r="D45" s="6">
        <v>54</v>
      </c>
      <c r="E45" s="20">
        <f>D45*E36</f>
        <v>54</v>
      </c>
    </row>
    <row r="46" spans="1:6" ht="13.5" thickBot="1" x14ac:dyDescent="0.25">
      <c r="A46" s="4">
        <f>3.115*0.617</f>
        <v>1.9219550000000001</v>
      </c>
      <c r="B46" s="174"/>
      <c r="C46" s="24" t="s">
        <v>4</v>
      </c>
      <c r="D46" s="18">
        <f>A46*D45/1000</f>
        <v>0.10378557000000001</v>
      </c>
      <c r="E46" s="22">
        <f>D46*E36</f>
        <v>0.10378557000000001</v>
      </c>
      <c r="F46" s="3" t="s">
        <v>19</v>
      </c>
    </row>
    <row r="47" spans="1:6" ht="13.5" thickTop="1" x14ac:dyDescent="0.2"/>
    <row r="48" spans="1:6" ht="13.5" thickBot="1" x14ac:dyDescent="0.25"/>
    <row r="49" spans="1:6" ht="13.5" thickTop="1" x14ac:dyDescent="0.2">
      <c r="B49" s="10" t="s">
        <v>6</v>
      </c>
      <c r="C49" s="11" t="s">
        <v>7</v>
      </c>
      <c r="D49" s="177" t="s">
        <v>9</v>
      </c>
      <c r="E49" s="178"/>
    </row>
    <row r="50" spans="1:6" x14ac:dyDescent="0.2">
      <c r="B50" s="175" t="s">
        <v>20</v>
      </c>
      <c r="C50" s="176"/>
      <c r="D50" s="6">
        <v>1</v>
      </c>
      <c r="E50" s="12">
        <v>1</v>
      </c>
    </row>
    <row r="51" spans="1:6" x14ac:dyDescent="0.2">
      <c r="B51" s="13" t="s">
        <v>2</v>
      </c>
      <c r="C51" s="5" t="s">
        <v>1</v>
      </c>
      <c r="D51" s="7">
        <f>(3.415+0.1+0.1)*(4.9+0.1+0.1)*0.1</f>
        <v>1.84365</v>
      </c>
      <c r="E51" s="14">
        <f>D51*E50</f>
        <v>1.84365</v>
      </c>
    </row>
    <row r="52" spans="1:6" x14ac:dyDescent="0.2">
      <c r="B52" s="13" t="s">
        <v>3</v>
      </c>
      <c r="C52" s="5" t="s">
        <v>1</v>
      </c>
      <c r="D52" s="7">
        <f>3.415*4.9*0.6</f>
        <v>10.040100000000001</v>
      </c>
      <c r="E52" s="14">
        <f>D52*E50</f>
        <v>10.040100000000001</v>
      </c>
    </row>
    <row r="53" spans="1:6" x14ac:dyDescent="0.2">
      <c r="B53" s="173" t="s">
        <v>22</v>
      </c>
      <c r="C53" s="5" t="s">
        <v>5</v>
      </c>
      <c r="D53" s="9">
        <v>9</v>
      </c>
      <c r="E53" s="23">
        <f>D53*E50</f>
        <v>9</v>
      </c>
    </row>
    <row r="54" spans="1:6" x14ac:dyDescent="0.2">
      <c r="A54" s="4">
        <f>ROUND((3.335*2*0.888)+(0.5*17*0.888),3)</f>
        <v>13.471</v>
      </c>
      <c r="B54" s="173"/>
      <c r="C54" s="5" t="s">
        <v>4</v>
      </c>
      <c r="D54" s="8">
        <f>A54*D53/1000</f>
        <v>0.121239</v>
      </c>
      <c r="E54" s="21">
        <f>D54*E50</f>
        <v>0.121239</v>
      </c>
    </row>
    <row r="55" spans="1:6" x14ac:dyDescent="0.2">
      <c r="B55" s="173" t="s">
        <v>23</v>
      </c>
      <c r="C55" s="5" t="s">
        <v>5</v>
      </c>
      <c r="D55" s="9">
        <v>2</v>
      </c>
      <c r="E55" s="9">
        <f>D55*E50</f>
        <v>2</v>
      </c>
    </row>
    <row r="56" spans="1:6" x14ac:dyDescent="0.2">
      <c r="A56" s="4">
        <f>ROUND((4.82*2*0.888)+(0.5*25*0.888),3)</f>
        <v>19.66</v>
      </c>
      <c r="B56" s="173"/>
      <c r="C56" s="5" t="s">
        <v>4</v>
      </c>
      <c r="D56" s="8">
        <f>D55*A56/1000</f>
        <v>3.9320000000000001E-2</v>
      </c>
      <c r="E56" s="21">
        <f>D56*E50</f>
        <v>3.9320000000000001E-2</v>
      </c>
    </row>
    <row r="57" spans="1:6" x14ac:dyDescent="0.2">
      <c r="B57" s="173" t="s">
        <v>24</v>
      </c>
      <c r="C57" s="6" t="s">
        <v>5</v>
      </c>
      <c r="D57" s="6">
        <v>52</v>
      </c>
      <c r="E57" s="20">
        <f>D57*E50</f>
        <v>52</v>
      </c>
    </row>
    <row r="58" spans="1:6" x14ac:dyDescent="0.2">
      <c r="A58" s="4">
        <f>3.115*0.617</f>
        <v>1.9219550000000001</v>
      </c>
      <c r="B58" s="173"/>
      <c r="C58" s="6" t="s">
        <v>4</v>
      </c>
      <c r="D58" s="8">
        <f>A58*D57/1000</f>
        <v>9.9941660000000002E-2</v>
      </c>
      <c r="E58" s="21">
        <f>D58*E50</f>
        <v>9.9941660000000002E-2</v>
      </c>
      <c r="F58" s="3" t="s">
        <v>19</v>
      </c>
    </row>
    <row r="59" spans="1:6" x14ac:dyDescent="0.2">
      <c r="B59" s="13" t="s">
        <v>25</v>
      </c>
      <c r="C59" s="5" t="s">
        <v>4</v>
      </c>
      <c r="D59" s="8">
        <f>(1.33*66*0.617)/1000</f>
        <v>5.4160260000000002E-2</v>
      </c>
      <c r="E59" s="21">
        <f>D59*E50</f>
        <v>5.4160260000000002E-2</v>
      </c>
      <c r="F59" s="3" t="s">
        <v>19</v>
      </c>
    </row>
    <row r="60" spans="1:6" ht="13.5" thickBot="1" x14ac:dyDescent="0.25">
      <c r="B60" s="25" t="s">
        <v>26</v>
      </c>
      <c r="C60" s="24" t="s">
        <v>4</v>
      </c>
      <c r="D60" s="18">
        <f>(4.82*38+3.335*52)*1.208/1000</f>
        <v>0.43074864000000002</v>
      </c>
      <c r="E60" s="22">
        <f>D60*E50</f>
        <v>0.43074864000000002</v>
      </c>
    </row>
    <row r="61" spans="1:6" ht="14.25" thickTop="1" thickBot="1" x14ac:dyDescent="0.25">
      <c r="B61" s="2"/>
      <c r="C61" s="2"/>
      <c r="D61" s="2"/>
      <c r="E61" s="2"/>
    </row>
    <row r="62" spans="1:6" ht="13.5" thickTop="1" x14ac:dyDescent="0.2">
      <c r="B62" s="10" t="s">
        <v>6</v>
      </c>
      <c r="C62" s="11" t="s">
        <v>7</v>
      </c>
      <c r="D62" s="177" t="s">
        <v>9</v>
      </c>
      <c r="E62" s="178"/>
    </row>
    <row r="63" spans="1:6" x14ac:dyDescent="0.2">
      <c r="B63" s="175" t="s">
        <v>27</v>
      </c>
      <c r="C63" s="176"/>
      <c r="D63" s="6">
        <v>1</v>
      </c>
      <c r="E63" s="12">
        <v>12</v>
      </c>
    </row>
    <row r="64" spans="1:6" x14ac:dyDescent="0.2">
      <c r="B64" s="13" t="s">
        <v>2</v>
      </c>
      <c r="C64" s="5" t="s">
        <v>1</v>
      </c>
      <c r="D64" s="7">
        <f>(1.85+0.1+0.1)*(1.85+0.1+0.1)*0.1</f>
        <v>0.42025000000000018</v>
      </c>
      <c r="E64" s="14">
        <f>D64*E63</f>
        <v>5.0430000000000019</v>
      </c>
    </row>
    <row r="65" spans="1:6" x14ac:dyDescent="0.2">
      <c r="B65" s="13" t="s">
        <v>3</v>
      </c>
      <c r="C65" s="5" t="s">
        <v>1</v>
      </c>
      <c r="D65" s="7">
        <f>1.85*1.85*0.6</f>
        <v>2.0535000000000001</v>
      </c>
      <c r="E65" s="14">
        <f>D65*E63</f>
        <v>24.642000000000003</v>
      </c>
    </row>
    <row r="66" spans="1:6" x14ac:dyDescent="0.2">
      <c r="B66" s="173" t="s">
        <v>28</v>
      </c>
      <c r="C66" s="5" t="s">
        <v>5</v>
      </c>
      <c r="D66" s="9">
        <v>4</v>
      </c>
      <c r="E66" s="23">
        <f>D66*E63</f>
        <v>48</v>
      </c>
    </row>
    <row r="67" spans="1:6" x14ac:dyDescent="0.2">
      <c r="A67" s="4">
        <f>ROUND((1.77*2*0.888)+(0.5*10*0.888),3)</f>
        <v>7.5839999999999996</v>
      </c>
      <c r="B67" s="173"/>
      <c r="C67" s="5" t="s">
        <v>4</v>
      </c>
      <c r="D67" s="8">
        <f>A67*D66/1000</f>
        <v>3.0335999999999998E-2</v>
      </c>
      <c r="E67" s="21">
        <f>D67*E63</f>
        <v>0.36403199999999997</v>
      </c>
    </row>
    <row r="68" spans="1:6" x14ac:dyDescent="0.2">
      <c r="A68" s="4"/>
      <c r="B68" s="173" t="s">
        <v>29</v>
      </c>
      <c r="C68" s="5" t="s">
        <v>5</v>
      </c>
      <c r="D68" s="9">
        <v>2</v>
      </c>
      <c r="E68" s="23">
        <f>D68*E63</f>
        <v>24</v>
      </c>
    </row>
    <row r="69" spans="1:6" ht="13.5" thickBot="1" x14ac:dyDescent="0.25">
      <c r="A69" s="4">
        <f>ROUND((1.77*20*1.208),3)</f>
        <v>42.762999999999998</v>
      </c>
      <c r="B69" s="174"/>
      <c r="C69" s="17" t="s">
        <v>4</v>
      </c>
      <c r="D69" s="18">
        <f>A69*D68/1000</f>
        <v>8.5525999999999991E-2</v>
      </c>
      <c r="E69" s="22">
        <f>D69*E63</f>
        <v>1.0263119999999999</v>
      </c>
      <c r="F69" s="42"/>
    </row>
    <row r="70" spans="1:6" ht="13.5" thickTop="1" x14ac:dyDescent="0.2"/>
  </sheetData>
  <mergeCells count="28">
    <mergeCell ref="B57:B58"/>
    <mergeCell ref="D62:E62"/>
    <mergeCell ref="B63:C63"/>
    <mergeCell ref="B66:B67"/>
    <mergeCell ref="B68:B69"/>
    <mergeCell ref="B55:B56"/>
    <mergeCell ref="B31:B32"/>
    <mergeCell ref="B29:B30"/>
    <mergeCell ref="D35:E35"/>
    <mergeCell ref="B36:C36"/>
    <mergeCell ref="B39:B40"/>
    <mergeCell ref="B41:B42"/>
    <mergeCell ref="B43:B44"/>
    <mergeCell ref="B45:B46"/>
    <mergeCell ref="D49:E49"/>
    <mergeCell ref="B50:C50"/>
    <mergeCell ref="B53:B54"/>
    <mergeCell ref="B27:B28"/>
    <mergeCell ref="B7:B8"/>
    <mergeCell ref="B9:B10"/>
    <mergeCell ref="B4:C4"/>
    <mergeCell ref="D3:E3"/>
    <mergeCell ref="D13:E13"/>
    <mergeCell ref="B14:C14"/>
    <mergeCell ref="B17:B18"/>
    <mergeCell ref="B19:B20"/>
    <mergeCell ref="D23:E23"/>
    <mergeCell ref="B24:C2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ВОР</vt:lpstr>
      <vt:lpstr>Каркасы</vt:lpstr>
      <vt:lpstr>Бетонная подготовка</vt:lpstr>
      <vt:lpstr>Бетон</vt:lpstr>
      <vt:lpstr>Гидроизоляция</vt:lpstr>
      <vt:lpstr>Рм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Комаровская Елена Андреевна</dc:creator>
  <cp:lastModifiedBy>Киреева Анастасия Витальевна</cp:lastModifiedBy>
  <dcterms:created xsi:type="dcterms:W3CDTF">2015-06-05T18:19:34Z</dcterms:created>
  <dcterms:modified xsi:type="dcterms:W3CDTF">2025-11-26T03:31:46Z</dcterms:modified>
</cp:coreProperties>
</file>