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Служба закупок\!!!ТОРГИ\!ТОРГИ по номерам\Торги №3299_школа Нск Спортивная_ростверк\"/>
    </mc:Choice>
  </mc:AlternateContent>
  <bookViews>
    <workbookView xWindow="28680" yWindow="-120" windowWidth="29040" windowHeight="15720"/>
  </bookViews>
  <sheets>
    <sheet name="ВОР" sheetId="1" r:id="rId1"/>
    <sheet name="СтЛ-1, ПМЛ-1" sheetId="2" state="hidden" r:id="rId2"/>
    <sheet name="СтЛ-2, ПМЛ-2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4" i="1"/>
  <c r="H47" i="1"/>
  <c r="H45" i="1"/>
  <c r="H43" i="1"/>
  <c r="H41" i="1"/>
  <c r="H39" i="1"/>
  <c r="H37" i="1"/>
  <c r="H35" i="1"/>
  <c r="H33" i="1"/>
  <c r="H31" i="1"/>
  <c r="G59" i="1"/>
  <c r="G57" i="1"/>
  <c r="G55" i="1"/>
  <c r="G53" i="1"/>
  <c r="G48" i="1"/>
  <c r="G46" i="1"/>
  <c r="G44" i="1"/>
  <c r="G42" i="1"/>
  <c r="G40" i="1"/>
  <c r="G38" i="1"/>
  <c r="G36" i="1"/>
  <c r="G34" i="1"/>
  <c r="G32" i="1"/>
  <c r="G30" i="1"/>
  <c r="H21" i="1"/>
  <c r="H19" i="1"/>
  <c r="H12" i="1"/>
  <c r="H10" i="1"/>
  <c r="G24" i="1"/>
  <c r="G22" i="1"/>
  <c r="G20" i="1"/>
  <c r="G18" i="1"/>
  <c r="G13" i="1"/>
  <c r="G11" i="1"/>
  <c r="G9" i="1"/>
  <c r="I85" i="3" l="1"/>
  <c r="I84" i="3"/>
  <c r="I83" i="3"/>
  <c r="I30" i="2"/>
  <c r="G85" i="3"/>
  <c r="G86" i="3" s="1"/>
  <c r="G84" i="3"/>
  <c r="G83" i="3"/>
  <c r="D91" i="3"/>
  <c r="B89" i="3"/>
  <c r="B91" i="3" s="1"/>
  <c r="I21" i="3"/>
  <c r="D83" i="3"/>
  <c r="D84" i="3"/>
  <c r="D85" i="3"/>
  <c r="D86" i="3"/>
  <c r="D87" i="3"/>
  <c r="D88" i="3"/>
  <c r="D90" i="3"/>
  <c r="C84" i="3"/>
  <c r="C85" i="3"/>
  <c r="C86" i="3"/>
  <c r="C87" i="3"/>
  <c r="C88" i="3"/>
  <c r="C89" i="3"/>
  <c r="C90" i="3"/>
  <c r="B90" i="3"/>
  <c r="B88" i="3"/>
  <c r="B87" i="3"/>
  <c r="B86" i="3"/>
  <c r="B85" i="3"/>
  <c r="B84" i="3"/>
  <c r="B83" i="3"/>
  <c r="C83" i="3"/>
  <c r="I29" i="2"/>
  <c r="A33" i="2"/>
  <c r="G30" i="2" s="1"/>
  <c r="A30" i="2"/>
  <c r="A31" i="2"/>
  <c r="A32" i="2"/>
  <c r="B33" i="2"/>
  <c r="G29" i="2" s="1"/>
  <c r="D30" i="2"/>
  <c r="D31" i="2"/>
  <c r="D32" i="2"/>
  <c r="D33" i="2" s="1"/>
  <c r="D29" i="2"/>
  <c r="C30" i="2"/>
  <c r="C31" i="2"/>
  <c r="C32" i="2"/>
  <c r="C29" i="2"/>
  <c r="B31" i="2"/>
  <c r="B30" i="2"/>
  <c r="B29" i="2"/>
  <c r="H19" i="3"/>
  <c r="I19" i="3"/>
  <c r="H18" i="3"/>
  <c r="H16" i="3"/>
  <c r="H15" i="3"/>
  <c r="H14" i="3"/>
  <c r="H13" i="3"/>
  <c r="H11" i="3"/>
  <c r="H10" i="3"/>
  <c r="H9" i="3"/>
  <c r="H8" i="3"/>
  <c r="J60" i="3"/>
  <c r="J59" i="3"/>
  <c r="J57" i="3"/>
  <c r="J58" i="3"/>
  <c r="J68" i="3"/>
  <c r="J69" i="3"/>
  <c r="J66" i="3"/>
  <c r="J67" i="3"/>
  <c r="J56" i="3"/>
  <c r="J63" i="3"/>
  <c r="J65" i="3"/>
  <c r="J64" i="3"/>
  <c r="H55" i="3"/>
  <c r="J55" i="3" s="1"/>
  <c r="H54" i="3"/>
  <c r="J54" i="3" s="1"/>
  <c r="J61" i="3" s="1"/>
  <c r="H64" i="3"/>
  <c r="E47" i="3"/>
  <c r="E48" i="3"/>
  <c r="O17" i="3"/>
  <c r="N17" i="3"/>
  <c r="E60" i="1"/>
  <c r="E57" i="1"/>
  <c r="E55" i="1"/>
  <c r="E53" i="1"/>
  <c r="E48" i="1"/>
  <c r="E46" i="1"/>
  <c r="E44" i="1"/>
  <c r="E42" i="1"/>
  <c r="E40" i="1"/>
  <c r="E38" i="1"/>
  <c r="E36" i="1"/>
  <c r="E34" i="1"/>
  <c r="E32" i="1"/>
  <c r="E78" i="3"/>
  <c r="E77" i="3"/>
  <c r="F77" i="3" s="1"/>
  <c r="E76" i="3" s="1"/>
  <c r="J78" i="3"/>
  <c r="J77" i="3"/>
  <c r="K77" i="3" s="1"/>
  <c r="I78" i="3"/>
  <c r="I77" i="3"/>
  <c r="E49" i="3"/>
  <c r="F49" i="3"/>
  <c r="E45" i="3"/>
  <c r="F45" i="3"/>
  <c r="G45" i="3"/>
  <c r="H42" i="3"/>
  <c r="F42" i="3"/>
  <c r="H41" i="3"/>
  <c r="F41" i="3"/>
  <c r="F39" i="3"/>
  <c r="F38" i="3"/>
  <c r="F37" i="3"/>
  <c r="F36" i="3"/>
  <c r="E30" i="1"/>
  <c r="C11" i="3"/>
  <c r="C10" i="3"/>
  <c r="C27" i="3"/>
  <c r="C26" i="3"/>
  <c r="C24" i="3"/>
  <c r="D89" i="3" l="1"/>
  <c r="G31" i="2"/>
  <c r="J70" i="3"/>
  <c r="P17" i="3"/>
  <c r="L17" i="3" s="1"/>
  <c r="D12" i="3"/>
  <c r="C12" i="3"/>
  <c r="E22" i="1"/>
  <c r="E20" i="1"/>
  <c r="E18" i="1"/>
  <c r="E13" i="1"/>
  <c r="E11" i="1"/>
  <c r="E9" i="1"/>
  <c r="H7" i="3" l="1"/>
  <c r="I7" i="3" s="1"/>
  <c r="H6" i="3"/>
  <c r="I6" i="3" s="1"/>
  <c r="E15" i="1" l="1"/>
  <c r="I9" i="3"/>
  <c r="H20" i="3"/>
  <c r="I20" i="3" s="1"/>
  <c r="I18" i="3"/>
  <c r="I14" i="3"/>
  <c r="I15" i="3"/>
  <c r="I16" i="3"/>
  <c r="I13" i="3"/>
  <c r="I11" i="3"/>
  <c r="I10" i="3"/>
  <c r="I8" i="3"/>
  <c r="F30" i="3"/>
  <c r="F12" i="3"/>
  <c r="E25" i="1"/>
  <c r="E59" i="1"/>
  <c r="E17" i="1"/>
  <c r="E49" i="1"/>
  <c r="E14" i="1"/>
  <c r="E8" i="1"/>
  <c r="C7" i="2"/>
  <c r="C6" i="2"/>
  <c r="H6" i="2"/>
  <c r="E24" i="1" l="1"/>
  <c r="G42" i="3" l="1"/>
  <c r="G41" i="3"/>
  <c r="G39" i="3"/>
  <c r="H39" i="3"/>
  <c r="I39" i="3" s="1"/>
  <c r="H38" i="3"/>
  <c r="G37" i="3"/>
  <c r="H37" i="3"/>
  <c r="H36" i="3"/>
  <c r="I36" i="3" s="1"/>
  <c r="G19" i="2"/>
  <c r="G18" i="2"/>
  <c r="G23" i="2"/>
  <c r="G22" i="2"/>
  <c r="F50" i="3"/>
  <c r="F47" i="3"/>
  <c r="G46" i="3"/>
  <c r="F46" i="3"/>
  <c r="G38" i="3"/>
  <c r="H14" i="2"/>
  <c r="G14" i="2"/>
  <c r="G36" i="3"/>
  <c r="F33" i="3"/>
  <c r="C29" i="3"/>
  <c r="F29" i="3" s="1"/>
  <c r="F27" i="3"/>
  <c r="F26" i="3"/>
  <c r="F24" i="3"/>
  <c r="C23" i="3"/>
  <c r="F23" i="3" s="1"/>
  <c r="C22" i="3"/>
  <c r="F22" i="3" s="1"/>
  <c r="C21" i="3"/>
  <c r="F21" i="3" s="1"/>
  <c r="F18" i="3"/>
  <c r="F17" i="3"/>
  <c r="F16" i="3"/>
  <c r="F15" i="3"/>
  <c r="F14" i="3"/>
  <c r="F13" i="3"/>
  <c r="F11" i="3"/>
  <c r="F10" i="3"/>
  <c r="F9" i="3"/>
  <c r="F8" i="3"/>
  <c r="N14" i="3"/>
  <c r="N21" i="3"/>
  <c r="N16" i="3"/>
  <c r="P15" i="3"/>
  <c r="N15" i="3"/>
  <c r="O14" i="3"/>
  <c r="P14" i="3" s="1"/>
  <c r="L21" i="2"/>
  <c r="L22" i="2"/>
  <c r="O15" i="2"/>
  <c r="N22" i="2"/>
  <c r="N21" i="2"/>
  <c r="Q14" i="2"/>
  <c r="O14" i="2"/>
  <c r="Q13" i="2"/>
  <c r="P13" i="2"/>
  <c r="O13" i="2"/>
  <c r="D23" i="2"/>
  <c r="D19" i="2"/>
  <c r="E22" i="2"/>
  <c r="E23" i="2"/>
  <c r="C23" i="2"/>
  <c r="D22" i="2"/>
  <c r="C22" i="2"/>
  <c r="D18" i="2"/>
  <c r="E19" i="2"/>
  <c r="E18" i="2"/>
  <c r="C19" i="2"/>
  <c r="C18" i="2"/>
  <c r="H15" i="2"/>
  <c r="G15" i="2"/>
  <c r="F14" i="2"/>
  <c r="H13" i="2"/>
  <c r="G13" i="2"/>
  <c r="F13" i="2"/>
  <c r="O19" i="2"/>
  <c r="F10" i="2"/>
  <c r="L6" i="2"/>
  <c r="O6" i="2"/>
  <c r="E7" i="2"/>
  <c r="F7" i="2"/>
  <c r="F6" i="2"/>
  <c r="F8" i="2" s="1"/>
  <c r="E6" i="2"/>
  <c r="F31" i="3" l="1"/>
  <c r="I37" i="3"/>
  <c r="G20" i="2"/>
  <c r="I38" i="3"/>
  <c r="I42" i="3"/>
  <c r="I41" i="3"/>
  <c r="N8" i="3"/>
  <c r="N23" i="2"/>
  <c r="G24" i="2"/>
  <c r="E36" i="3" l="1"/>
  <c r="G25" i="2"/>
</calcChain>
</file>

<file path=xl/sharedStrings.xml><?xml version="1.0" encoding="utf-8"?>
<sst xmlns="http://schemas.openxmlformats.org/spreadsheetml/2006/main" count="221" uniqueCount="87">
  <si>
    <t>Объект образования (общеобразовательная школа на 1100 мест) по ул. Николая Сотникова в Кировском районе г.Новосибирска</t>
  </si>
  <si>
    <t>*Расход материалов принять согласно нормам ГЭСН (кроме указанных)</t>
  </si>
  <si>
    <t>№
п/п</t>
  </si>
  <si>
    <t>Наименование работ</t>
  </si>
  <si>
    <t>Ед.изм</t>
  </si>
  <si>
    <t>Объем</t>
  </si>
  <si>
    <t>Примечание</t>
  </si>
  <si>
    <t>Стены основания лифта СтЛ-1</t>
  </si>
  <si>
    <t>Бетон</t>
  </si>
  <si>
    <t>10 А500С</t>
  </si>
  <si>
    <t>8 А500С</t>
  </si>
  <si>
    <t>П1</t>
  </si>
  <si>
    <t>Ш1</t>
  </si>
  <si>
    <t>Плита основания лифта ПМЛ-1</t>
  </si>
  <si>
    <t>12 А500С</t>
  </si>
  <si>
    <t>10 А240</t>
  </si>
  <si>
    <t>Изделие закладное МН3.99</t>
  </si>
  <si>
    <t>Щебень</t>
  </si>
  <si>
    <t>шт.</t>
  </si>
  <si>
    <t>Длина</t>
  </si>
  <si>
    <t>м3</t>
  </si>
  <si>
    <t>шт</t>
  </si>
  <si>
    <t>тн</t>
  </si>
  <si>
    <t>по высоте</t>
  </si>
  <si>
    <t>по длине</t>
  </si>
  <si>
    <t xml:space="preserve"> +2 в углах</t>
  </si>
  <si>
    <t>Стены основания лифта СтЛ-2</t>
  </si>
  <si>
    <t>+</t>
  </si>
  <si>
    <t>Плита основания лифта ПМЛ-2</t>
  </si>
  <si>
    <t>Д1</t>
  </si>
  <si>
    <t>П2</t>
  </si>
  <si>
    <t>8 А240</t>
  </si>
  <si>
    <t>П3</t>
  </si>
  <si>
    <t>П4</t>
  </si>
  <si>
    <t xml:space="preserve"> -вес единицы в кг</t>
  </si>
  <si>
    <r>
      <t xml:space="preserve">Сетка С5 </t>
    </r>
    <r>
      <rPr>
        <sz val="8"/>
        <color theme="1"/>
        <rFont val="Calibri"/>
        <family val="2"/>
        <charset val="204"/>
        <scheme val="minor"/>
      </rPr>
      <t>Контактная точечная сварка</t>
    </r>
  </si>
  <si>
    <t>Бетон В25 F150 W6</t>
  </si>
  <si>
    <t xml:space="preserve"> Ø10 А500С - 0,062 тн</t>
  </si>
  <si>
    <t>Устройство монолитных железобетонных стен основания лифта толщиной 200 мм</t>
  </si>
  <si>
    <t xml:space="preserve"> Ø12 А500С - 0,135 тн</t>
  </si>
  <si>
    <t xml:space="preserve">Щебень М1000 фракции 20…40
Коэффициент расхода 1,27 </t>
  </si>
  <si>
    <t>Устройство щебеночного основания высотой 920 мм</t>
  </si>
  <si>
    <t>Устройство монолитной железобетонной плиты основания лифта толщиной 200 мм</t>
  </si>
  <si>
    <t>Деталь арматурная гнутая П1 (0,540 кг/шт)
(Ø10 А500С, L=875мм)</t>
  </si>
  <si>
    <t>Деталь арматурная гнутая Ш1  (0,099 кг/шт)
(Ø8 А240, L=250мм)</t>
  </si>
  <si>
    <t>Деталь арматурная гнутая Д1 (0,506 кг/шт)
(Ø10 А240, L=820мм)</t>
  </si>
  <si>
    <t>Деталь арматурная гнутая П2 (0,759 кг/шт)
(Ø12 А500С, L=855мм)</t>
  </si>
  <si>
    <t xml:space="preserve">Изделие закладное МН 3.99 (1,93 кг/шт) </t>
  </si>
  <si>
    <t>Монтаж и демонтаж опалубки стен</t>
  </si>
  <si>
    <t>м2</t>
  </si>
  <si>
    <t>-</t>
  </si>
  <si>
    <t>Опалубка</t>
  </si>
  <si>
    <t>Деталь арматурная гнутая П2 (0,528 кг/шт)
(Ø10 А500С, L=855мм)</t>
  </si>
  <si>
    <t>Деталь арматурная гнутая П3 (0,521 кг/шт)
(Ø10 А500С, L=845мм)</t>
  </si>
  <si>
    <t>Деталь арматурная гнутая П4 (0,509 кг/шт)
(Ø10 А500С, L=825мм)</t>
  </si>
  <si>
    <t>Деталь арматурная гнутая Ш1 (0,099 кг/шт)
(Ø8 А240, L=250мм)</t>
  </si>
  <si>
    <t>Монтаж и демонтаж опалубки плиты</t>
  </si>
  <si>
    <r>
      <t xml:space="preserve">Устройство монолитных стен основания лифта СтЛ-1 
</t>
    </r>
    <r>
      <rPr>
        <sz val="12"/>
        <color theme="1"/>
        <rFont val="Times New Roman"/>
        <family val="1"/>
        <charset val="204"/>
      </rPr>
      <t>7018-КЖ.0 л.23 (предварительная выдача от 31.11.25), л.24 (предварительная выдача от 14.11.25)</t>
    </r>
  </si>
  <si>
    <r>
      <t xml:space="preserve">Устройство плиты основания лифта ПМЛ-1 
</t>
    </r>
    <r>
      <rPr>
        <sz val="12"/>
        <color theme="1"/>
        <rFont val="Times New Roman"/>
        <family val="1"/>
        <charset val="204"/>
      </rPr>
      <t>7018-КЖ.0 л.23 (предварительная выдача от 31.11.25), л.24 (предварительная выдача от 14.11.25)</t>
    </r>
  </si>
  <si>
    <r>
      <t xml:space="preserve">Устройство монолитных стен основания лифта СтЛ-2
</t>
    </r>
    <r>
      <rPr>
        <sz val="12"/>
        <color theme="1"/>
        <rFont val="Times New Roman"/>
        <family val="1"/>
        <charset val="204"/>
      </rPr>
      <t>7018-КЖ.0 л.25-26 (предварительная выдача от 14.11.25)</t>
    </r>
  </si>
  <si>
    <t>вычитаем в конце</t>
  </si>
  <si>
    <t xml:space="preserve"> Ø10 А500С - 0,098 тн</t>
  </si>
  <si>
    <t>П5</t>
  </si>
  <si>
    <t>П6</t>
  </si>
  <si>
    <t>Ш2</t>
  </si>
  <si>
    <t>Узел В, Г 5 шт. по высоте в 4 углах</t>
  </si>
  <si>
    <t>Узел Д, Г</t>
  </si>
  <si>
    <t>Узел Б на углу 5 шт. Узел Д на углу 5 шт.</t>
  </si>
  <si>
    <t xml:space="preserve">Середина подколонника </t>
  </si>
  <si>
    <t>Деталь арматурная гнутая П5 (0,555 кг/шт)
(Ø10 А500С, L=900мм)</t>
  </si>
  <si>
    <t>Деталь арматурная гнутая П6 (0,543 кг/шт)
(Ø10 А500С, L=880мм)</t>
  </si>
  <si>
    <t>Деталь арматурная гнутая Ш1 (0,109 кг/шт)
(Ø8 А240, L=275мм)</t>
  </si>
  <si>
    <t>Сетка С5 (12,533 кг/шт)
л.26 п.4 контактная точечная сварка</t>
  </si>
  <si>
    <t xml:space="preserve"> Ø10 А500С - 0,050 тн</t>
  </si>
  <si>
    <t xml:space="preserve"> Ø12 А500С - 0,136 тн</t>
  </si>
  <si>
    <t>Гидроизоляция до отметки -2,180 (стадия П АР)</t>
  </si>
  <si>
    <t>длина</t>
  </si>
  <si>
    <t>высота</t>
  </si>
  <si>
    <t>опалубка стен</t>
  </si>
  <si>
    <t>опалубка плиты</t>
  </si>
  <si>
    <t xml:space="preserve">Вертикальная обмазочная гидроизоляция </t>
  </si>
  <si>
    <r>
      <t xml:space="preserve">Устройство гидроизоляции монолитных стен основания лифта СтЛ-1
</t>
    </r>
    <r>
      <rPr>
        <sz val="12"/>
        <color theme="1"/>
        <rFont val="Times New Roman"/>
        <family val="1"/>
        <charset val="204"/>
      </rPr>
      <t>7018-КЖ.0 л.24 п.11 (предварительная выдача от 14.11.25)</t>
    </r>
  </si>
  <si>
    <t>Обмазка битумной мастикой за 2 раза
Праймер битумный ТехноНиколь №01 (расход = 0,25 л/м2)
Мастика гидроизоляционная  ТехноНиколь №24 (расход = 2,4 кг/м2)</t>
  </si>
  <si>
    <r>
      <t xml:space="preserve">Устройство гидроизоляции монолитных стен основания лифта СтЛ-2
</t>
    </r>
    <r>
      <rPr>
        <sz val="12"/>
        <color theme="1"/>
        <rFont val="Times New Roman"/>
        <family val="1"/>
        <charset val="204"/>
      </rPr>
      <t>7018-КЖ.0 л.24 п.11 (предварительная выдача от 14.11.25)</t>
    </r>
  </si>
  <si>
    <t>Ведомость объёмов работ №5 от 20.11.2025г</t>
  </si>
  <si>
    <t>Рабочая документация шифр 7018-КЖ.0 (предварительная выдача)</t>
  </si>
  <si>
    <r>
      <t xml:space="preserve">Устройство плиты основания лифта ПМЛ-2 
</t>
    </r>
    <r>
      <rPr>
        <sz val="12"/>
        <color theme="1"/>
        <rFont val="Times New Roman"/>
        <family val="1"/>
        <charset val="204"/>
      </rPr>
      <t>7018-КЖ.0 л.25-26 (предварительная выдача от 14.11.25)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</si>
</sst>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 applyFill="1"/>
    <xf numFmtId="2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/>
    <xf numFmtId="2" fontId="0" fillId="0" borderId="0" xfId="0" applyNumberFormat="1" applyFill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7" fillId="0" borderId="0" xfId="0" applyNumberFormat="1" applyFont="1"/>
    <xf numFmtId="0" fontId="3" fillId="0" borderId="4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0" borderId="0" xfId="0" applyNumberFormat="1"/>
    <xf numFmtId="2" fontId="0" fillId="2" borderId="0" xfId="0" applyNumberFormat="1" applyFill="1"/>
    <xf numFmtId="0" fontId="0" fillId="2" borderId="0" xfId="0" applyFill="1" applyBorder="1"/>
    <xf numFmtId="164" fontId="0" fillId="2" borderId="0" xfId="0" applyNumberFormat="1" applyFill="1"/>
    <xf numFmtId="0" fontId="0" fillId="2" borderId="0" xfId="0" applyFill="1"/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4" fontId="0" fillId="2" borderId="0" xfId="0" applyNumberFormat="1" applyFill="1" applyBorder="1"/>
    <xf numFmtId="164" fontId="0" fillId="0" borderId="0" xfId="0" applyNumberFormat="1" applyAlignment="1">
      <alignment horizontal="right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2" fontId="1" fillId="2" borderId="0" xfId="0" applyNumberFormat="1" applyFont="1" applyFill="1"/>
    <xf numFmtId="0" fontId="3" fillId="0" borderId="16" xfId="0" applyFont="1" applyBorder="1" applyAlignment="1">
      <alignment horizontal="left" vertical="center"/>
    </xf>
    <xf numFmtId="0" fontId="3" fillId="0" borderId="18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/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wrapText="1"/>
    </xf>
    <xf numFmtId="0" fontId="3" fillId="0" borderId="21" xfId="0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wrapText="1"/>
    </xf>
    <xf numFmtId="0" fontId="3" fillId="0" borderId="19" xfId="0" applyFont="1" applyFill="1" applyBorder="1"/>
    <xf numFmtId="0" fontId="3" fillId="0" borderId="19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9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3"/>
  <sheetViews>
    <sheetView tabSelected="1" zoomScale="85" zoomScaleNormal="85" workbookViewId="0">
      <selection activeCell="Q8" sqref="Q8"/>
    </sheetView>
  </sheetViews>
  <sheetFormatPr defaultRowHeight="15" x14ac:dyDescent="0.25"/>
  <cols>
    <col min="1" max="1" width="9.140625" style="29"/>
    <col min="2" max="2" width="8.42578125" style="29" customWidth="1"/>
    <col min="3" max="3" width="69.42578125" style="29" customWidth="1"/>
    <col min="4" max="4" width="9.140625" style="29"/>
    <col min="5" max="5" width="12.7109375" style="29" customWidth="1"/>
    <col min="6" max="6" width="72.140625" style="29" customWidth="1"/>
    <col min="7" max="7" width="12.7109375" style="30" hidden="1" customWidth="1"/>
    <col min="8" max="8" width="12.5703125" style="39" hidden="1" customWidth="1"/>
    <col min="9" max="11" width="9.140625" style="29" customWidth="1"/>
    <col min="12" max="16384" width="9.140625" style="29"/>
  </cols>
  <sheetData>
    <row r="1" spans="2:14" ht="15.75" x14ac:dyDescent="0.25">
      <c r="B1" s="2"/>
      <c r="C1" s="1"/>
      <c r="D1" s="2"/>
      <c r="E1" s="2"/>
      <c r="F1" s="1"/>
    </row>
    <row r="2" spans="2:14" ht="18.75" x14ac:dyDescent="0.25">
      <c r="B2" s="89" t="s">
        <v>84</v>
      </c>
      <c r="C2" s="89"/>
      <c r="D2" s="89"/>
      <c r="E2" s="89"/>
      <c r="F2" s="89"/>
    </row>
    <row r="3" spans="2:14" ht="18.75" x14ac:dyDescent="0.25">
      <c r="B3" s="90" t="s">
        <v>0</v>
      </c>
      <c r="C3" s="90"/>
      <c r="D3" s="90"/>
      <c r="E3" s="90"/>
      <c r="F3" s="90"/>
    </row>
    <row r="4" spans="2:14" ht="15.75" x14ac:dyDescent="0.25">
      <c r="B4" s="91" t="s">
        <v>85</v>
      </c>
      <c r="C4" s="91"/>
      <c r="D4" s="91"/>
      <c r="E4" s="91"/>
      <c r="F4" s="91"/>
    </row>
    <row r="5" spans="2:14" ht="16.5" thickBot="1" x14ac:dyDescent="0.3">
      <c r="B5" s="3" t="s">
        <v>1</v>
      </c>
      <c r="C5" s="2"/>
      <c r="D5" s="2"/>
      <c r="E5" s="2"/>
      <c r="F5" s="2"/>
    </row>
    <row r="6" spans="2:14" ht="32.25" thickTop="1" x14ac:dyDescent="0.25">
      <c r="B6" s="4" t="s">
        <v>2</v>
      </c>
      <c r="C6" s="5" t="s">
        <v>3</v>
      </c>
      <c r="D6" s="5" t="s">
        <v>4</v>
      </c>
      <c r="E6" s="5" t="s">
        <v>5</v>
      </c>
      <c r="F6" s="6" t="s">
        <v>6</v>
      </c>
    </row>
    <row r="7" spans="2:14" ht="30" customHeight="1" x14ac:dyDescent="0.25">
      <c r="B7" s="86" t="s">
        <v>57</v>
      </c>
      <c r="C7" s="87"/>
      <c r="D7" s="87"/>
      <c r="E7" s="87"/>
      <c r="F7" s="88"/>
    </row>
    <row r="8" spans="2:14" ht="19.5" customHeight="1" x14ac:dyDescent="0.25">
      <c r="B8" s="95">
        <v>1</v>
      </c>
      <c r="C8" s="92" t="s">
        <v>38</v>
      </c>
      <c r="D8" s="44" t="s">
        <v>20</v>
      </c>
      <c r="E8" s="32">
        <f>(2*(2.13)+(2.68*2))*0.92*0.2</f>
        <v>1.7700800000000001</v>
      </c>
      <c r="F8" s="62" t="s">
        <v>36</v>
      </c>
      <c r="G8" s="30">
        <v>1.77</v>
      </c>
      <c r="I8" s="30"/>
    </row>
    <row r="9" spans="2:14" ht="15.75" x14ac:dyDescent="0.25">
      <c r="B9" s="96"/>
      <c r="C9" s="93"/>
      <c r="D9" s="44" t="s">
        <v>22</v>
      </c>
      <c r="E9" s="36">
        <f>(1.851*20+1.265*20)/1000</f>
        <v>6.2319999999999993E-2</v>
      </c>
      <c r="F9" s="63" t="s">
        <v>37</v>
      </c>
      <c r="G9" s="39">
        <f>(20*1.851+20*1.265)/1000</f>
        <v>6.2319999999999993E-2</v>
      </c>
      <c r="I9" s="39"/>
      <c r="J9" s="39"/>
      <c r="L9" s="34"/>
      <c r="M9" s="34"/>
      <c r="N9" s="34"/>
    </row>
    <row r="10" spans="2:14" ht="15.75" x14ac:dyDescent="0.25">
      <c r="B10" s="96"/>
      <c r="C10" s="93"/>
      <c r="D10" s="44" t="s">
        <v>18</v>
      </c>
      <c r="E10" s="37">
        <v>40</v>
      </c>
      <c r="F10" s="98" t="s">
        <v>43</v>
      </c>
      <c r="G10" s="85">
        <v>40</v>
      </c>
      <c r="H10" s="39">
        <f>0.875*0.617</f>
        <v>0.53987499999999999</v>
      </c>
      <c r="J10" s="30"/>
      <c r="L10" s="34"/>
    </row>
    <row r="11" spans="2:14" ht="15.75" x14ac:dyDescent="0.25">
      <c r="B11" s="96"/>
      <c r="C11" s="93"/>
      <c r="D11" s="44" t="s">
        <v>22</v>
      </c>
      <c r="E11" s="36">
        <f>(0.54*E10)/1000</f>
        <v>2.1600000000000001E-2</v>
      </c>
      <c r="F11" s="99"/>
      <c r="G11" s="39">
        <f>(0.54*40)/1000</f>
        <v>2.1600000000000001E-2</v>
      </c>
      <c r="J11" s="30"/>
    </row>
    <row r="12" spans="2:14" ht="15.75" x14ac:dyDescent="0.25">
      <c r="B12" s="96"/>
      <c r="C12" s="93"/>
      <c r="D12" s="44" t="s">
        <v>18</v>
      </c>
      <c r="E12" s="37">
        <v>114</v>
      </c>
      <c r="F12" s="100" t="s">
        <v>44</v>
      </c>
      <c r="G12" s="85">
        <v>114</v>
      </c>
      <c r="H12" s="39">
        <f>0.25*0.395</f>
        <v>9.8750000000000004E-2</v>
      </c>
      <c r="J12" s="30"/>
      <c r="L12" s="34"/>
    </row>
    <row r="13" spans="2:14" ht="15.75" x14ac:dyDescent="0.25">
      <c r="B13" s="97"/>
      <c r="C13" s="94"/>
      <c r="D13" s="44" t="s">
        <v>22</v>
      </c>
      <c r="E13" s="36">
        <f>(0.099*E12)/1000</f>
        <v>1.1286000000000001E-2</v>
      </c>
      <c r="F13" s="101"/>
      <c r="G13" s="39">
        <f>(0.099*114)/1000</f>
        <v>1.1286000000000001E-2</v>
      </c>
      <c r="J13" s="30"/>
    </row>
    <row r="14" spans="2:14" ht="31.5" x14ac:dyDescent="0.25">
      <c r="B14" s="64">
        <v>2</v>
      </c>
      <c r="C14" s="31" t="s">
        <v>41</v>
      </c>
      <c r="D14" s="44" t="s">
        <v>20</v>
      </c>
      <c r="E14" s="32">
        <f>1.73*2.68*0.92</f>
        <v>4.2654880000000004</v>
      </c>
      <c r="F14" s="65" t="s">
        <v>40</v>
      </c>
      <c r="G14" s="39">
        <v>4.2699999999999996</v>
      </c>
      <c r="J14" s="30"/>
    </row>
    <row r="15" spans="2:14" ht="15.75" x14ac:dyDescent="0.25">
      <c r="B15" s="64">
        <v>3</v>
      </c>
      <c r="C15" s="31" t="s">
        <v>48</v>
      </c>
      <c r="D15" s="44" t="s">
        <v>49</v>
      </c>
      <c r="E15" s="32">
        <f>(2.13+2.13+3.08+3.08+1.73+1.73+2.68+2.68)*0.92</f>
        <v>17.700800000000001</v>
      </c>
      <c r="F15" s="65" t="s">
        <v>50</v>
      </c>
      <c r="G15" s="39"/>
      <c r="J15" s="39"/>
    </row>
    <row r="16" spans="2:14" ht="30.75" customHeight="1" x14ac:dyDescent="0.25">
      <c r="B16" s="86" t="s">
        <v>58</v>
      </c>
      <c r="C16" s="87"/>
      <c r="D16" s="87"/>
      <c r="E16" s="87"/>
      <c r="F16" s="88"/>
      <c r="J16" s="30"/>
    </row>
    <row r="17" spans="2:14" ht="21" customHeight="1" x14ac:dyDescent="0.25">
      <c r="B17" s="104">
        <v>4</v>
      </c>
      <c r="C17" s="103" t="s">
        <v>42</v>
      </c>
      <c r="D17" s="44" t="s">
        <v>20</v>
      </c>
      <c r="E17" s="32">
        <f>2.13*3.08*0.2</f>
        <v>1.3120799999999999</v>
      </c>
      <c r="F17" s="62" t="s">
        <v>36</v>
      </c>
      <c r="G17" s="30">
        <v>1.31</v>
      </c>
      <c r="I17" s="30"/>
      <c r="J17" s="30"/>
    </row>
    <row r="18" spans="2:14" ht="15.75" x14ac:dyDescent="0.25">
      <c r="B18" s="104"/>
      <c r="C18" s="103"/>
      <c r="D18" s="44" t="s">
        <v>22</v>
      </c>
      <c r="E18" s="33">
        <f>(2.664*26+1.82*36)/1000</f>
        <v>0.13478399999999999</v>
      </c>
      <c r="F18" s="63" t="s">
        <v>39</v>
      </c>
      <c r="G18" s="39">
        <f>(26*2.664+36*1.82)/1000</f>
        <v>0.13478399999999999</v>
      </c>
      <c r="I18" s="39"/>
      <c r="J18" s="39"/>
      <c r="M18" s="34"/>
      <c r="N18" s="34"/>
    </row>
    <row r="19" spans="2:14" ht="15.75" x14ac:dyDescent="0.25">
      <c r="B19" s="104"/>
      <c r="C19" s="103"/>
      <c r="D19" s="44" t="s">
        <v>18</v>
      </c>
      <c r="E19" s="44">
        <v>6</v>
      </c>
      <c r="F19" s="98" t="s">
        <v>45</v>
      </c>
      <c r="G19" s="85">
        <v>6</v>
      </c>
      <c r="H19" s="39">
        <f>0.82*0.617</f>
        <v>0.50593999999999995</v>
      </c>
      <c r="J19" s="30"/>
      <c r="L19" s="34"/>
    </row>
    <row r="20" spans="2:14" ht="15.75" x14ac:dyDescent="0.25">
      <c r="B20" s="104"/>
      <c r="C20" s="103"/>
      <c r="D20" s="44" t="s">
        <v>22</v>
      </c>
      <c r="E20" s="36">
        <f>(0.506*E19)/1000</f>
        <v>3.0360000000000001E-3</v>
      </c>
      <c r="F20" s="99"/>
      <c r="G20" s="39">
        <f>(0.506*6)/1000</f>
        <v>3.0360000000000001E-3</v>
      </c>
    </row>
    <row r="21" spans="2:14" ht="15.75" x14ac:dyDescent="0.25">
      <c r="B21" s="104"/>
      <c r="C21" s="103"/>
      <c r="D21" s="35" t="s">
        <v>18</v>
      </c>
      <c r="E21" s="44">
        <v>62</v>
      </c>
      <c r="F21" s="100" t="s">
        <v>46</v>
      </c>
      <c r="G21" s="85">
        <v>62</v>
      </c>
      <c r="H21" s="39">
        <f>0.855*0.888</f>
        <v>0.75924000000000003</v>
      </c>
      <c r="L21" s="34"/>
    </row>
    <row r="22" spans="2:14" ht="15.75" x14ac:dyDescent="0.25">
      <c r="B22" s="104"/>
      <c r="C22" s="103"/>
      <c r="D22" s="35" t="s">
        <v>22</v>
      </c>
      <c r="E22" s="33">
        <f>(0.759*E21)/1000</f>
        <v>4.7058000000000003E-2</v>
      </c>
      <c r="F22" s="110"/>
      <c r="G22" s="39">
        <f>(0.759*62)/1000</f>
        <v>4.7058000000000003E-2</v>
      </c>
      <c r="L22" s="34"/>
    </row>
    <row r="23" spans="2:14" ht="15.75" x14ac:dyDescent="0.25">
      <c r="B23" s="104"/>
      <c r="C23" s="103"/>
      <c r="D23" s="35" t="s">
        <v>18</v>
      </c>
      <c r="E23" s="44">
        <v>8</v>
      </c>
      <c r="F23" s="102" t="s">
        <v>47</v>
      </c>
      <c r="G23" s="30">
        <v>8</v>
      </c>
    </row>
    <row r="24" spans="2:14" ht="15.75" x14ac:dyDescent="0.25">
      <c r="B24" s="104"/>
      <c r="C24" s="103"/>
      <c r="D24" s="35" t="s">
        <v>22</v>
      </c>
      <c r="E24" s="33">
        <f>(1.93*8)/1000</f>
        <v>1.5439999999999999E-2</v>
      </c>
      <c r="F24" s="101"/>
      <c r="G24" s="39">
        <f>1.93*8/1000</f>
        <v>1.5439999999999999E-2</v>
      </c>
    </row>
    <row r="25" spans="2:14" ht="15.75" x14ac:dyDescent="0.25">
      <c r="B25" s="66">
        <v>5</v>
      </c>
      <c r="C25" s="31" t="s">
        <v>56</v>
      </c>
      <c r="D25" s="44" t="s">
        <v>49</v>
      </c>
      <c r="E25" s="32">
        <f>(2.13+2.13+3.08+3.08)*0.2</f>
        <v>2.0840000000000001</v>
      </c>
      <c r="F25" s="67" t="s">
        <v>50</v>
      </c>
    </row>
    <row r="26" spans="2:14" ht="30" customHeight="1" x14ac:dyDescent="0.25">
      <c r="B26" s="86" t="s">
        <v>81</v>
      </c>
      <c r="C26" s="87"/>
      <c r="D26" s="87"/>
      <c r="E26" s="87"/>
      <c r="F26" s="88"/>
    </row>
    <row r="27" spans="2:14" ht="51.75" customHeight="1" thickBot="1" x14ac:dyDescent="0.3">
      <c r="B27" s="68">
        <v>6</v>
      </c>
      <c r="C27" s="69" t="s">
        <v>80</v>
      </c>
      <c r="D27" s="70" t="s">
        <v>49</v>
      </c>
      <c r="E27" s="71">
        <v>2.5</v>
      </c>
      <c r="F27" s="72" t="s">
        <v>82</v>
      </c>
    </row>
    <row r="28" spans="2:14" ht="39.75" customHeight="1" thickTop="1" x14ac:dyDescent="0.25">
      <c r="B28" s="105" t="s">
        <v>59</v>
      </c>
      <c r="C28" s="106"/>
      <c r="D28" s="106"/>
      <c r="E28" s="106"/>
      <c r="F28" s="107"/>
    </row>
    <row r="29" spans="2:14" ht="15.75" customHeight="1" x14ac:dyDescent="0.25">
      <c r="B29" s="104">
        <v>7</v>
      </c>
      <c r="C29" s="103" t="s">
        <v>38</v>
      </c>
      <c r="D29" s="44" t="s">
        <v>20</v>
      </c>
      <c r="E29" s="74">
        <v>2.99</v>
      </c>
      <c r="F29" s="75" t="s">
        <v>36</v>
      </c>
      <c r="G29" s="30">
        <v>2.99</v>
      </c>
      <c r="I29" s="30"/>
    </row>
    <row r="30" spans="2:14" ht="15.75" x14ac:dyDescent="0.25">
      <c r="B30" s="104"/>
      <c r="C30" s="103"/>
      <c r="D30" s="44" t="s">
        <v>22</v>
      </c>
      <c r="E30" s="76">
        <f>(158.2)*0.617/1000</f>
        <v>9.7609399999999999E-2</v>
      </c>
      <c r="F30" s="77" t="s">
        <v>61</v>
      </c>
      <c r="G30" s="39">
        <f>158.2*0.617/1000</f>
        <v>9.7609399999999999E-2</v>
      </c>
      <c r="I30" s="38"/>
      <c r="J30" s="38"/>
    </row>
    <row r="31" spans="2:14" ht="15.75" x14ac:dyDescent="0.25">
      <c r="B31" s="104"/>
      <c r="C31" s="103"/>
      <c r="D31" s="44" t="s">
        <v>18</v>
      </c>
      <c r="E31" s="78">
        <v>20</v>
      </c>
      <c r="F31" s="108" t="s">
        <v>69</v>
      </c>
      <c r="G31" s="85">
        <v>20</v>
      </c>
      <c r="H31" s="39">
        <f>0.9*0.617</f>
        <v>0.55530000000000002</v>
      </c>
    </row>
    <row r="32" spans="2:14" ht="15.75" x14ac:dyDescent="0.25">
      <c r="B32" s="104"/>
      <c r="C32" s="103"/>
      <c r="D32" s="44" t="s">
        <v>22</v>
      </c>
      <c r="E32" s="79">
        <f>(0.555*E31)/1000</f>
        <v>1.1100000000000002E-2</v>
      </c>
      <c r="F32" s="109"/>
      <c r="G32" s="84">
        <f>0.555*20/1000</f>
        <v>1.1100000000000002E-2</v>
      </c>
    </row>
    <row r="33" spans="2:8" ht="15.75" x14ac:dyDescent="0.25">
      <c r="B33" s="104"/>
      <c r="C33" s="103"/>
      <c r="D33" s="44" t="s">
        <v>18</v>
      </c>
      <c r="E33" s="78">
        <v>17</v>
      </c>
      <c r="F33" s="108" t="s">
        <v>70</v>
      </c>
      <c r="G33" s="85">
        <v>17</v>
      </c>
      <c r="H33" s="39">
        <f>0.88*0.617</f>
        <v>0.54296</v>
      </c>
    </row>
    <row r="34" spans="2:8" ht="15.75" x14ac:dyDescent="0.25">
      <c r="B34" s="104"/>
      <c r="C34" s="103"/>
      <c r="D34" s="44" t="s">
        <v>22</v>
      </c>
      <c r="E34" s="79">
        <f>(0.543*E33)/1000</f>
        <v>9.2309999999999996E-3</v>
      </c>
      <c r="F34" s="109"/>
      <c r="G34" s="84">
        <f>0.543*17/1000</f>
        <v>9.2309999999999996E-3</v>
      </c>
    </row>
    <row r="35" spans="2:8" ht="15.75" x14ac:dyDescent="0.25">
      <c r="B35" s="104"/>
      <c r="C35" s="103"/>
      <c r="D35" s="44" t="s">
        <v>18</v>
      </c>
      <c r="E35" s="78">
        <v>40</v>
      </c>
      <c r="F35" s="108" t="s">
        <v>43</v>
      </c>
      <c r="G35" s="85">
        <v>40</v>
      </c>
      <c r="H35" s="39">
        <f>0.875*0.617</f>
        <v>0.53987499999999999</v>
      </c>
    </row>
    <row r="36" spans="2:8" ht="15.75" x14ac:dyDescent="0.25">
      <c r="B36" s="104"/>
      <c r="C36" s="103"/>
      <c r="D36" s="44" t="s">
        <v>22</v>
      </c>
      <c r="E36" s="79">
        <f>(0.54*E35)/1000</f>
        <v>2.1600000000000001E-2</v>
      </c>
      <c r="F36" s="109"/>
      <c r="G36" s="84">
        <f>0.54*40/1000</f>
        <v>2.1600000000000001E-2</v>
      </c>
    </row>
    <row r="37" spans="2:8" ht="15.75" x14ac:dyDescent="0.25">
      <c r="B37" s="104"/>
      <c r="C37" s="103"/>
      <c r="D37" s="44" t="s">
        <v>18</v>
      </c>
      <c r="E37" s="78">
        <v>13</v>
      </c>
      <c r="F37" s="108" t="s">
        <v>52</v>
      </c>
      <c r="G37" s="85">
        <v>13</v>
      </c>
      <c r="H37" s="39">
        <f>0.855*0.617</f>
        <v>0.52753499999999998</v>
      </c>
    </row>
    <row r="38" spans="2:8" ht="15.75" x14ac:dyDescent="0.25">
      <c r="B38" s="104"/>
      <c r="C38" s="103"/>
      <c r="D38" s="44" t="s">
        <v>22</v>
      </c>
      <c r="E38" s="79">
        <f>(0.528*E37)/1000</f>
        <v>6.8640000000000012E-3</v>
      </c>
      <c r="F38" s="109"/>
      <c r="G38" s="84">
        <f>0.528*13/1000</f>
        <v>6.8640000000000012E-3</v>
      </c>
    </row>
    <row r="39" spans="2:8" ht="15.75" x14ac:dyDescent="0.25">
      <c r="B39" s="104"/>
      <c r="C39" s="103"/>
      <c r="D39" s="44" t="s">
        <v>18</v>
      </c>
      <c r="E39" s="78">
        <v>10</v>
      </c>
      <c r="F39" s="108" t="s">
        <v>53</v>
      </c>
      <c r="G39" s="85">
        <v>10</v>
      </c>
      <c r="H39" s="39">
        <f>0.845*0.617</f>
        <v>0.52136499999999997</v>
      </c>
    </row>
    <row r="40" spans="2:8" ht="15.75" x14ac:dyDescent="0.25">
      <c r="B40" s="104"/>
      <c r="C40" s="103"/>
      <c r="D40" s="44" t="s">
        <v>22</v>
      </c>
      <c r="E40" s="79">
        <f>(0.521*E39)/1000</f>
        <v>5.2100000000000002E-3</v>
      </c>
      <c r="F40" s="109"/>
      <c r="G40" s="84">
        <f>0.521*10/1000</f>
        <v>5.2100000000000002E-3</v>
      </c>
    </row>
    <row r="41" spans="2:8" ht="15.75" x14ac:dyDescent="0.25">
      <c r="B41" s="104"/>
      <c r="C41" s="103"/>
      <c r="D41" s="44" t="s">
        <v>18</v>
      </c>
      <c r="E41" s="78">
        <v>3</v>
      </c>
      <c r="F41" s="108" t="s">
        <v>54</v>
      </c>
      <c r="G41" s="85">
        <v>3</v>
      </c>
      <c r="H41" s="39">
        <f>0.825*0.617</f>
        <v>0.50902499999999995</v>
      </c>
    </row>
    <row r="42" spans="2:8" ht="15.75" x14ac:dyDescent="0.25">
      <c r="B42" s="104"/>
      <c r="C42" s="103"/>
      <c r="D42" s="44" t="s">
        <v>22</v>
      </c>
      <c r="E42" s="79">
        <f>(0.509*E41)/1000</f>
        <v>1.5270000000000001E-3</v>
      </c>
      <c r="F42" s="109"/>
      <c r="G42" s="84">
        <f>0.509*3/1000</f>
        <v>1.5270000000000001E-3</v>
      </c>
    </row>
    <row r="43" spans="2:8" ht="15.75" x14ac:dyDescent="0.25">
      <c r="B43" s="104"/>
      <c r="C43" s="103"/>
      <c r="D43" s="44" t="s">
        <v>18</v>
      </c>
      <c r="E43" s="78">
        <v>75</v>
      </c>
      <c r="F43" s="108" t="s">
        <v>71</v>
      </c>
      <c r="G43" s="85">
        <v>75</v>
      </c>
      <c r="H43" s="39">
        <f>0.275*0.395</f>
        <v>0.10862500000000001</v>
      </c>
    </row>
    <row r="44" spans="2:8" ht="15.75" x14ac:dyDescent="0.25">
      <c r="B44" s="104"/>
      <c r="C44" s="103"/>
      <c r="D44" s="44" t="s">
        <v>22</v>
      </c>
      <c r="E44" s="79">
        <f>(0.109*E43)/1000</f>
        <v>8.175E-3</v>
      </c>
      <c r="F44" s="109"/>
      <c r="G44" s="84">
        <f>0.109*75/1000</f>
        <v>8.175E-3</v>
      </c>
    </row>
    <row r="45" spans="2:8" ht="15.75" x14ac:dyDescent="0.25">
      <c r="B45" s="104"/>
      <c r="C45" s="103"/>
      <c r="D45" s="44" t="s">
        <v>18</v>
      </c>
      <c r="E45" s="78">
        <v>76</v>
      </c>
      <c r="F45" s="108" t="s">
        <v>55</v>
      </c>
      <c r="G45" s="85">
        <v>76</v>
      </c>
      <c r="H45" s="39">
        <f>0.25*0.395</f>
        <v>9.8750000000000004E-2</v>
      </c>
    </row>
    <row r="46" spans="2:8" ht="15.75" x14ac:dyDescent="0.25">
      <c r="B46" s="104"/>
      <c r="C46" s="103"/>
      <c r="D46" s="44" t="s">
        <v>22</v>
      </c>
      <c r="E46" s="79">
        <f>(0.099*E45)/1000</f>
        <v>7.5240000000000003E-3</v>
      </c>
      <c r="F46" s="111"/>
      <c r="G46" s="84">
        <f>0.099*76/1000</f>
        <v>7.5240000000000003E-3</v>
      </c>
    </row>
    <row r="47" spans="2:8" ht="31.5" x14ac:dyDescent="0.25">
      <c r="B47" s="104"/>
      <c r="C47" s="103"/>
      <c r="D47" s="44" t="s">
        <v>18</v>
      </c>
      <c r="E47" s="80">
        <v>4</v>
      </c>
      <c r="F47" s="81" t="s">
        <v>72</v>
      </c>
      <c r="G47" s="85">
        <v>4</v>
      </c>
      <c r="H47" s="39">
        <f>(1.595*6+0.895*12)*0.617</f>
        <v>12.531270000000001</v>
      </c>
    </row>
    <row r="48" spans="2:8" ht="15.75" x14ac:dyDescent="0.25">
      <c r="B48" s="104"/>
      <c r="C48" s="103"/>
      <c r="D48" s="44" t="s">
        <v>22</v>
      </c>
      <c r="E48" s="76">
        <f>(12.533*E47)/1000</f>
        <v>5.0131999999999996E-2</v>
      </c>
      <c r="F48" s="82" t="s">
        <v>73</v>
      </c>
      <c r="G48" s="39">
        <f>12.533*4/1000</f>
        <v>5.0131999999999996E-2</v>
      </c>
    </row>
    <row r="49" spans="2:14" ht="31.5" x14ac:dyDescent="0.25">
      <c r="B49" s="66">
        <v>8</v>
      </c>
      <c r="C49" s="31" t="s">
        <v>41</v>
      </c>
      <c r="D49" s="44" t="s">
        <v>20</v>
      </c>
      <c r="E49" s="74">
        <f>1.73*2.68*0.92</f>
        <v>4.2654880000000004</v>
      </c>
      <c r="F49" s="83" t="s">
        <v>40</v>
      </c>
      <c r="G49" s="30">
        <v>4.2699999999999996</v>
      </c>
    </row>
    <row r="50" spans="2:14" ht="15.75" x14ac:dyDescent="0.25">
      <c r="B50" s="73">
        <v>9</v>
      </c>
      <c r="C50" s="31" t="s">
        <v>48</v>
      </c>
      <c r="D50" s="44" t="s">
        <v>49</v>
      </c>
      <c r="E50" s="74">
        <v>24.7</v>
      </c>
      <c r="F50" s="77" t="s">
        <v>50</v>
      </c>
    </row>
    <row r="51" spans="2:14" ht="38.25" customHeight="1" x14ac:dyDescent="0.25">
      <c r="B51" s="86" t="s">
        <v>86</v>
      </c>
      <c r="C51" s="87"/>
      <c r="D51" s="87"/>
      <c r="E51" s="87"/>
      <c r="F51" s="88"/>
    </row>
    <row r="52" spans="2:14" ht="17.25" customHeight="1" x14ac:dyDescent="0.25">
      <c r="B52" s="104">
        <v>10</v>
      </c>
      <c r="C52" s="114" t="s">
        <v>42</v>
      </c>
      <c r="D52" s="44" t="s">
        <v>20</v>
      </c>
      <c r="E52" s="74">
        <v>1.34</v>
      </c>
      <c r="F52" s="75" t="s">
        <v>36</v>
      </c>
      <c r="G52" s="30">
        <v>1.34</v>
      </c>
      <c r="I52" s="30"/>
    </row>
    <row r="53" spans="2:14" ht="15.75" x14ac:dyDescent="0.25">
      <c r="B53" s="104"/>
      <c r="C53" s="115"/>
      <c r="D53" s="44" t="s">
        <v>22</v>
      </c>
      <c r="E53" s="79">
        <f>(2.686*26+1.843*36)/1000</f>
        <v>0.136184</v>
      </c>
      <c r="F53" s="77" t="s">
        <v>74</v>
      </c>
      <c r="G53" s="39">
        <f>(2.686*26+1.843*36)/1000</f>
        <v>0.136184</v>
      </c>
      <c r="I53" s="39"/>
      <c r="J53" s="34"/>
      <c r="L53" s="34"/>
      <c r="M53" s="34"/>
      <c r="N53" s="34"/>
    </row>
    <row r="54" spans="2:14" ht="15.75" x14ac:dyDescent="0.25">
      <c r="B54" s="104"/>
      <c r="C54" s="115"/>
      <c r="D54" s="44" t="s">
        <v>18</v>
      </c>
      <c r="E54" s="78">
        <v>6</v>
      </c>
      <c r="F54" s="108" t="s">
        <v>45</v>
      </c>
      <c r="G54" s="85">
        <v>6</v>
      </c>
      <c r="H54" s="39">
        <f>0.82*0.617</f>
        <v>0.50593999999999995</v>
      </c>
    </row>
    <row r="55" spans="2:14" ht="15.75" x14ac:dyDescent="0.25">
      <c r="B55" s="104"/>
      <c r="C55" s="115"/>
      <c r="D55" s="44" t="s">
        <v>22</v>
      </c>
      <c r="E55" s="76">
        <f>(0.506*E54)/1000</f>
        <v>3.0360000000000001E-3</v>
      </c>
      <c r="F55" s="109"/>
      <c r="G55" s="84">
        <f>0.506*6/1000</f>
        <v>3.0360000000000001E-3</v>
      </c>
    </row>
    <row r="56" spans="2:14" ht="15.75" x14ac:dyDescent="0.25">
      <c r="B56" s="104"/>
      <c r="C56" s="115"/>
      <c r="D56" s="44" t="s">
        <v>18</v>
      </c>
      <c r="E56" s="78">
        <v>62</v>
      </c>
      <c r="F56" s="116" t="s">
        <v>46</v>
      </c>
      <c r="G56" s="85">
        <v>62</v>
      </c>
      <c r="H56" s="39">
        <f>0.855*0.888</f>
        <v>0.75924000000000003</v>
      </c>
    </row>
    <row r="57" spans="2:14" ht="15.75" x14ac:dyDescent="0.25">
      <c r="B57" s="104"/>
      <c r="C57" s="115"/>
      <c r="D57" s="44" t="s">
        <v>22</v>
      </c>
      <c r="E57" s="79">
        <f>(0.759*E56)/1000</f>
        <v>4.7058000000000003E-2</v>
      </c>
      <c r="F57" s="117"/>
      <c r="G57" s="84">
        <f>0.759*62/1000</f>
        <v>4.7058000000000003E-2</v>
      </c>
    </row>
    <row r="58" spans="2:14" ht="15.75" x14ac:dyDescent="0.25">
      <c r="B58" s="104"/>
      <c r="C58" s="115"/>
      <c r="D58" s="35" t="s">
        <v>18</v>
      </c>
      <c r="E58" s="78">
        <v>8</v>
      </c>
      <c r="F58" s="112" t="s">
        <v>47</v>
      </c>
      <c r="G58" s="30">
        <v>8</v>
      </c>
    </row>
    <row r="59" spans="2:14" ht="15.75" x14ac:dyDescent="0.25">
      <c r="B59" s="104"/>
      <c r="C59" s="115"/>
      <c r="D59" s="35" t="s">
        <v>22</v>
      </c>
      <c r="E59" s="79">
        <f>(1.93*8)/1000</f>
        <v>1.5439999999999999E-2</v>
      </c>
      <c r="F59" s="113"/>
      <c r="G59" s="84">
        <f>1.93*8/1000</f>
        <v>1.5439999999999999E-2</v>
      </c>
    </row>
    <row r="60" spans="2:14" ht="15.75" x14ac:dyDescent="0.25">
      <c r="B60" s="66">
        <v>11</v>
      </c>
      <c r="C60" s="40" t="s">
        <v>56</v>
      </c>
      <c r="D60" s="44" t="s">
        <v>49</v>
      </c>
      <c r="E60" s="74">
        <f>(2.155+2.155+3.105+3.105)*0.2</f>
        <v>2.1040000000000001</v>
      </c>
      <c r="F60" s="77" t="s">
        <v>50</v>
      </c>
    </row>
    <row r="61" spans="2:14" ht="32.25" customHeight="1" x14ac:dyDescent="0.25">
      <c r="B61" s="86" t="s">
        <v>83</v>
      </c>
      <c r="C61" s="87"/>
      <c r="D61" s="87"/>
      <c r="E61" s="87"/>
      <c r="F61" s="88"/>
    </row>
    <row r="62" spans="2:14" ht="48" thickBot="1" x14ac:dyDescent="0.3">
      <c r="B62" s="68">
        <v>12</v>
      </c>
      <c r="C62" s="69" t="s">
        <v>80</v>
      </c>
      <c r="D62" s="70" t="s">
        <v>49</v>
      </c>
      <c r="E62" s="71">
        <v>3.58</v>
      </c>
      <c r="F62" s="72" t="s">
        <v>82</v>
      </c>
    </row>
    <row r="63" spans="2:14" ht="15.75" thickTop="1" x14ac:dyDescent="0.25"/>
  </sheetData>
  <mergeCells count="33">
    <mergeCell ref="F58:F59"/>
    <mergeCell ref="C52:C59"/>
    <mergeCell ref="B52:B59"/>
    <mergeCell ref="B51:F51"/>
    <mergeCell ref="F54:F55"/>
    <mergeCell ref="F56:F57"/>
    <mergeCell ref="B29:B48"/>
    <mergeCell ref="F19:F20"/>
    <mergeCell ref="F21:F22"/>
    <mergeCell ref="F37:F38"/>
    <mergeCell ref="F39:F40"/>
    <mergeCell ref="F41:F42"/>
    <mergeCell ref="F45:F46"/>
    <mergeCell ref="C29:C48"/>
    <mergeCell ref="F35:F36"/>
    <mergeCell ref="F33:F34"/>
    <mergeCell ref="F43:F44"/>
    <mergeCell ref="B26:F26"/>
    <mergeCell ref="B61:F61"/>
    <mergeCell ref="B2:F2"/>
    <mergeCell ref="B3:F3"/>
    <mergeCell ref="B4:F4"/>
    <mergeCell ref="B7:F7"/>
    <mergeCell ref="B16:F16"/>
    <mergeCell ref="C8:C13"/>
    <mergeCell ref="B8:B13"/>
    <mergeCell ref="F10:F11"/>
    <mergeCell ref="F12:F13"/>
    <mergeCell ref="F23:F24"/>
    <mergeCell ref="C17:C24"/>
    <mergeCell ref="B17:B24"/>
    <mergeCell ref="B28:F28"/>
    <mergeCell ref="F31:F3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33"/>
  <sheetViews>
    <sheetView topLeftCell="A19" zoomScale="145" zoomScaleNormal="145" workbookViewId="0">
      <selection activeCell="E34" sqref="E34"/>
    </sheetView>
  </sheetViews>
  <sheetFormatPr defaultRowHeight="15" x14ac:dyDescent="0.25"/>
  <sheetData>
    <row r="4" spans="1:18" x14ac:dyDescent="0.25">
      <c r="B4" s="118" t="s">
        <v>7</v>
      </c>
      <c r="C4" s="118"/>
      <c r="D4" s="118"/>
      <c r="E4" s="118"/>
      <c r="F4" s="118"/>
      <c r="H4" s="9" t="s">
        <v>51</v>
      </c>
      <c r="K4" s="118" t="s">
        <v>13</v>
      </c>
      <c r="L4" s="118"/>
      <c r="M4" s="118"/>
      <c r="N4" s="118"/>
      <c r="O4" s="118"/>
    </row>
    <row r="5" spans="1:18" x14ac:dyDescent="0.25">
      <c r="F5" s="8" t="s">
        <v>20</v>
      </c>
      <c r="H5" s="9" t="s">
        <v>49</v>
      </c>
      <c r="O5" s="9" t="s">
        <v>20</v>
      </c>
    </row>
    <row r="6" spans="1:18" x14ac:dyDescent="0.25">
      <c r="B6" t="s">
        <v>8</v>
      </c>
      <c r="C6" s="9">
        <f>2*(1.7+0.2+0.03+0.2)</f>
        <v>4.26</v>
      </c>
      <c r="D6" s="9">
        <v>0.2</v>
      </c>
      <c r="E6" s="9">
        <f>0.92</f>
        <v>0.92</v>
      </c>
      <c r="F6" s="10">
        <f>C6*D6*E6</f>
        <v>0.78383999999999998</v>
      </c>
      <c r="H6" s="9">
        <f>(C6+C7)*E6*2</f>
        <v>17.700800000000001</v>
      </c>
      <c r="K6" t="s">
        <v>8</v>
      </c>
      <c r="L6" s="9">
        <f>2.13</f>
        <v>2.13</v>
      </c>
      <c r="M6" s="9">
        <v>3.08</v>
      </c>
      <c r="N6" s="9">
        <v>0.2</v>
      </c>
      <c r="O6" s="14">
        <f>L6*M6*N6</f>
        <v>1.3120799999999999</v>
      </c>
    </row>
    <row r="7" spans="1:18" x14ac:dyDescent="0.25">
      <c r="C7" s="9">
        <f>2.68*2</f>
        <v>5.36</v>
      </c>
      <c r="D7" s="9">
        <v>0.2</v>
      </c>
      <c r="E7" s="9">
        <f>0.92</f>
        <v>0.92</v>
      </c>
      <c r="F7" s="10">
        <f>C7*D7*E7</f>
        <v>0.98624000000000012</v>
      </c>
      <c r="L7" s="9"/>
      <c r="M7" s="9"/>
      <c r="N7" s="9"/>
      <c r="O7" s="10"/>
    </row>
    <row r="8" spans="1:18" x14ac:dyDescent="0.25">
      <c r="C8" s="9"/>
      <c r="D8" s="9"/>
      <c r="E8" s="9"/>
      <c r="F8" s="14">
        <f>SUM(F6:F7)</f>
        <v>1.7700800000000001</v>
      </c>
      <c r="L8" s="9"/>
      <c r="M8" s="9"/>
      <c r="N8" s="9"/>
      <c r="O8" s="11"/>
    </row>
    <row r="9" spans="1:18" x14ac:dyDescent="0.25">
      <c r="C9" s="9"/>
      <c r="D9" s="9"/>
      <c r="E9" s="9"/>
      <c r="F9" s="15"/>
      <c r="L9" s="9"/>
      <c r="M9" s="9"/>
      <c r="N9" s="9"/>
      <c r="O9" s="11"/>
    </row>
    <row r="10" spans="1:18" x14ac:dyDescent="0.25">
      <c r="B10" t="s">
        <v>17</v>
      </c>
      <c r="C10" s="9">
        <v>1.73</v>
      </c>
      <c r="D10" s="9">
        <v>2.68</v>
      </c>
      <c r="E10" s="9">
        <v>0.92</v>
      </c>
      <c r="F10" s="14">
        <f>C10*D10*E10</f>
        <v>4.2654880000000004</v>
      </c>
      <c r="L10" s="9"/>
      <c r="M10" s="9"/>
      <c r="N10" s="9"/>
      <c r="O10" s="11"/>
    </row>
    <row r="11" spans="1:18" x14ac:dyDescent="0.25">
      <c r="C11" s="9"/>
      <c r="D11" s="9"/>
      <c r="E11" s="9"/>
      <c r="F11" s="16"/>
    </row>
    <row r="12" spans="1:18" x14ac:dyDescent="0.25">
      <c r="C12" s="9" t="s">
        <v>19</v>
      </c>
      <c r="D12" s="9" t="s">
        <v>18</v>
      </c>
      <c r="E12" s="9"/>
      <c r="F12" s="9"/>
      <c r="L12" s="9" t="s">
        <v>19</v>
      </c>
      <c r="M12" s="9" t="s">
        <v>18</v>
      </c>
    </row>
    <row r="13" spans="1:18" x14ac:dyDescent="0.25">
      <c r="B13" t="s">
        <v>9</v>
      </c>
      <c r="C13" s="19">
        <v>3</v>
      </c>
      <c r="D13" s="23">
        <v>20</v>
      </c>
      <c r="E13" s="9"/>
      <c r="F13" s="21">
        <f>((2.68+0.2+0.2)-0.08)</f>
        <v>3.0000000000000004</v>
      </c>
      <c r="G13">
        <f>0.92/0.2</f>
        <v>4.5999999999999996</v>
      </c>
      <c r="H13" s="20">
        <f>5*2*2</f>
        <v>20</v>
      </c>
      <c r="K13" t="s">
        <v>14</v>
      </c>
      <c r="L13" s="13">
        <v>3</v>
      </c>
      <c r="M13" s="18">
        <v>26</v>
      </c>
      <c r="O13" s="21">
        <f>(0.2+0.03+1.7+0.2)/0.2</f>
        <v>10.649999999999999</v>
      </c>
      <c r="P13">
        <f>11+2</f>
        <v>13</v>
      </c>
      <c r="Q13">
        <f>P13*2</f>
        <v>26</v>
      </c>
      <c r="R13" t="s">
        <v>25</v>
      </c>
    </row>
    <row r="14" spans="1:18" x14ac:dyDescent="0.25">
      <c r="B14" t="s">
        <v>9</v>
      </c>
      <c r="C14" s="19">
        <v>2.0499999999999998</v>
      </c>
      <c r="D14" s="23">
        <v>20</v>
      </c>
      <c r="E14" s="9"/>
      <c r="F14" s="22">
        <f>(1.7+0.03+0.2+0.2)-0.08</f>
        <v>2.0499999999999998</v>
      </c>
      <c r="G14">
        <f>0.92/0.2</f>
        <v>4.5999999999999996</v>
      </c>
      <c r="H14" s="20">
        <f>5*2*2</f>
        <v>20</v>
      </c>
      <c r="K14" t="s">
        <v>14</v>
      </c>
      <c r="L14" s="13">
        <v>2.0499999999999998</v>
      </c>
      <c r="M14" s="18">
        <v>36</v>
      </c>
      <c r="O14">
        <f>(0.2+2.68+0.2)/0.2</f>
        <v>15.400000000000002</v>
      </c>
      <c r="P14">
        <v>16</v>
      </c>
      <c r="Q14">
        <f>18*2</f>
        <v>36</v>
      </c>
      <c r="R14" t="s">
        <v>25</v>
      </c>
    </row>
    <row r="15" spans="1:18" x14ac:dyDescent="0.25">
      <c r="A15" t="s">
        <v>11</v>
      </c>
      <c r="B15" t="s">
        <v>9</v>
      </c>
      <c r="C15" s="13">
        <v>0.875</v>
      </c>
      <c r="D15" s="23">
        <v>40</v>
      </c>
      <c r="E15" s="9"/>
      <c r="F15" s="9"/>
      <c r="G15">
        <f>(0.92/0.2)</f>
        <v>4.5999999999999996</v>
      </c>
      <c r="H15">
        <f>5*(4+4)</f>
        <v>40</v>
      </c>
      <c r="J15" t="s">
        <v>29</v>
      </c>
      <c r="K15" t="s">
        <v>15</v>
      </c>
      <c r="L15" s="13">
        <v>0.82</v>
      </c>
      <c r="M15" s="18">
        <v>6</v>
      </c>
      <c r="O15" s="20">
        <f>3*2</f>
        <v>6</v>
      </c>
      <c r="P15" s="7"/>
    </row>
    <row r="16" spans="1:18" x14ac:dyDescent="0.25">
      <c r="A16" t="s">
        <v>12</v>
      </c>
      <c r="B16" t="s">
        <v>10</v>
      </c>
      <c r="C16" s="13">
        <v>0.25</v>
      </c>
      <c r="D16" s="23">
        <v>114</v>
      </c>
      <c r="E16" s="9"/>
      <c r="F16" s="9"/>
      <c r="J16" t="s">
        <v>30</v>
      </c>
      <c r="K16" t="s">
        <v>14</v>
      </c>
      <c r="L16" s="13">
        <v>0.85499999999999998</v>
      </c>
      <c r="M16" s="9">
        <v>62</v>
      </c>
    </row>
    <row r="17" spans="1:15" x14ac:dyDescent="0.25">
      <c r="D17" t="s">
        <v>24</v>
      </c>
      <c r="F17" t="s">
        <v>23</v>
      </c>
      <c r="L17" s="13"/>
      <c r="M17" s="9"/>
    </row>
    <row r="18" spans="1:15" x14ac:dyDescent="0.25">
      <c r="C18" s="10">
        <f>(2.68)/0.4</f>
        <v>6.7</v>
      </c>
      <c r="D18" s="9">
        <f>7*2</f>
        <v>14</v>
      </c>
      <c r="E18" s="9">
        <f>0.92/0.4</f>
        <v>2.2999999999999998</v>
      </c>
      <c r="F18" s="9">
        <v>2</v>
      </c>
      <c r="G18" s="9">
        <f>D18*F18</f>
        <v>28</v>
      </c>
      <c r="L18" s="13"/>
      <c r="M18" s="9"/>
      <c r="N18" s="9" t="s">
        <v>21</v>
      </c>
      <c r="O18" s="9" t="s">
        <v>22</v>
      </c>
    </row>
    <row r="19" spans="1:15" x14ac:dyDescent="0.25">
      <c r="C19" s="10">
        <f>(1.73)/0.4</f>
        <v>4.3249999999999993</v>
      </c>
      <c r="D19" s="9">
        <f>5*2</f>
        <v>10</v>
      </c>
      <c r="E19" s="9">
        <f>0.92/0.4</f>
        <v>2.2999999999999998</v>
      </c>
      <c r="F19" s="9">
        <v>2</v>
      </c>
      <c r="G19" s="9">
        <f>D19*F19</f>
        <v>20</v>
      </c>
      <c r="K19" s="118" t="s">
        <v>16</v>
      </c>
      <c r="L19" s="118"/>
      <c r="M19" s="118"/>
      <c r="N19" s="18">
        <v>8</v>
      </c>
      <c r="O19" s="17">
        <f>N19*1.93/1000</f>
        <v>1.5439999999999999E-2</v>
      </c>
    </row>
    <row r="20" spans="1:15" x14ac:dyDescent="0.25">
      <c r="G20" s="9">
        <f>G18+G19</f>
        <v>48</v>
      </c>
    </row>
    <row r="21" spans="1:15" x14ac:dyDescent="0.25">
      <c r="E21" s="20"/>
      <c r="K21">
        <v>3.08</v>
      </c>
      <c r="L21">
        <f>K21/0.2</f>
        <v>15.4</v>
      </c>
      <c r="M21">
        <v>16</v>
      </c>
      <c r="N21">
        <f>M21*2</f>
        <v>32</v>
      </c>
    </row>
    <row r="22" spans="1:15" x14ac:dyDescent="0.25">
      <c r="C22" s="10">
        <f>(2.68)/0.4</f>
        <v>6.7</v>
      </c>
      <c r="D22" s="9">
        <f>7*2</f>
        <v>14</v>
      </c>
      <c r="E22" s="9">
        <f>0.92/0.4</f>
        <v>2.2999999999999998</v>
      </c>
      <c r="F22" s="9">
        <v>3</v>
      </c>
      <c r="G22" s="9">
        <f>D22*F22</f>
        <v>42</v>
      </c>
      <c r="K22">
        <v>2.13</v>
      </c>
      <c r="L22">
        <f>K22/0.2</f>
        <v>10.649999999999999</v>
      </c>
      <c r="M22">
        <v>11</v>
      </c>
      <c r="N22">
        <f>M22*2</f>
        <v>22</v>
      </c>
    </row>
    <row r="23" spans="1:15" x14ac:dyDescent="0.25">
      <c r="C23" s="10">
        <f>(1.73)/0.4</f>
        <v>4.3249999999999993</v>
      </c>
      <c r="D23" s="9">
        <f>4*2</f>
        <v>8</v>
      </c>
      <c r="E23" s="9">
        <f>0.92/0.4</f>
        <v>2.2999999999999998</v>
      </c>
      <c r="F23" s="9">
        <v>3</v>
      </c>
      <c r="G23" s="9">
        <f>D23*F23</f>
        <v>24</v>
      </c>
      <c r="N23">
        <f>N21+N22</f>
        <v>54</v>
      </c>
    </row>
    <row r="24" spans="1:15" x14ac:dyDescent="0.25">
      <c r="G24" s="9">
        <f>G22+G23</f>
        <v>66</v>
      </c>
    </row>
    <row r="25" spans="1:15" x14ac:dyDescent="0.25">
      <c r="G25" s="8">
        <f>G24+G20</f>
        <v>114</v>
      </c>
    </row>
    <row r="26" spans="1:15" x14ac:dyDescent="0.25">
      <c r="G26" s="8"/>
    </row>
    <row r="27" spans="1:15" x14ac:dyDescent="0.25">
      <c r="B27" t="s">
        <v>75</v>
      </c>
    </row>
    <row r="28" spans="1:15" x14ac:dyDescent="0.25">
      <c r="B28" s="56" t="s">
        <v>76</v>
      </c>
      <c r="C28" s="56" t="s">
        <v>77</v>
      </c>
      <c r="G28" t="s">
        <v>78</v>
      </c>
      <c r="I28" t="s">
        <v>79</v>
      </c>
    </row>
    <row r="29" spans="1:15" x14ac:dyDescent="0.25">
      <c r="A29">
        <v>2.68</v>
      </c>
      <c r="B29">
        <f>0.2+2.68+0.2</f>
        <v>3.0800000000000005</v>
      </c>
      <c r="C29">
        <f>2.42-2.18</f>
        <v>0.23999999999999977</v>
      </c>
      <c r="D29" s="7">
        <f>B29*C29</f>
        <v>0.73919999999999941</v>
      </c>
      <c r="G29">
        <f>B33*0.92</f>
        <v>9.5864000000000011</v>
      </c>
      <c r="I29">
        <f>B33*0.2</f>
        <v>2.0840000000000005</v>
      </c>
    </row>
    <row r="30" spans="1:15" x14ac:dyDescent="0.25">
      <c r="A30">
        <f t="shared" ref="A30:A32" si="0">B30-0.2-0.2</f>
        <v>1.73</v>
      </c>
      <c r="B30">
        <f>0.2+0.03+1.7+0.2</f>
        <v>2.13</v>
      </c>
      <c r="C30">
        <f t="shared" ref="C30:C32" si="1">2.42-2.18</f>
        <v>0.23999999999999977</v>
      </c>
      <c r="D30" s="7">
        <f t="shared" ref="D30:D32" si="2">B30*C30</f>
        <v>0.51119999999999943</v>
      </c>
      <c r="G30">
        <f>A33*0.92</f>
        <v>8.1143999999999998</v>
      </c>
      <c r="I30">
        <f>(2.13+3.08+2.13+3.08)*0.2</f>
        <v>2.0840000000000001</v>
      </c>
    </row>
    <row r="31" spans="1:15" x14ac:dyDescent="0.25">
      <c r="A31">
        <f t="shared" si="0"/>
        <v>2.6799999999999997</v>
      </c>
      <c r="B31">
        <f>3.08</f>
        <v>3.08</v>
      </c>
      <c r="C31">
        <f t="shared" si="1"/>
        <v>0.23999999999999977</v>
      </c>
      <c r="D31" s="7">
        <f t="shared" si="2"/>
        <v>0.7391999999999993</v>
      </c>
      <c r="G31">
        <f>G29+G30</f>
        <v>17.700800000000001</v>
      </c>
    </row>
    <row r="32" spans="1:15" x14ac:dyDescent="0.25">
      <c r="A32">
        <f t="shared" si="0"/>
        <v>1.73</v>
      </c>
      <c r="B32">
        <v>2.13</v>
      </c>
      <c r="C32">
        <f t="shared" si="1"/>
        <v>0.23999999999999977</v>
      </c>
      <c r="D32" s="7">
        <f t="shared" si="2"/>
        <v>0.51119999999999943</v>
      </c>
    </row>
    <row r="33" spans="1:4" x14ac:dyDescent="0.25">
      <c r="A33">
        <f>SUM(A29:A32)</f>
        <v>8.82</v>
      </c>
      <c r="B33">
        <f>SUM(B29:B32)</f>
        <v>10.420000000000002</v>
      </c>
      <c r="D33" s="46">
        <f>SUM(D29:D32)</f>
        <v>2.5007999999999972</v>
      </c>
    </row>
  </sheetData>
  <mergeCells count="3">
    <mergeCell ref="B4:F4"/>
    <mergeCell ref="K4:O4"/>
    <mergeCell ref="K19:M19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94"/>
  <sheetViews>
    <sheetView topLeftCell="A73" zoomScale="145" zoomScaleNormal="145" workbookViewId="0">
      <selection activeCell="I86" sqref="I86"/>
    </sheetView>
  </sheetViews>
  <sheetFormatPr defaultRowHeight="15" x14ac:dyDescent="0.25"/>
  <cols>
    <col min="3" max="3" width="8.85546875" customWidth="1"/>
  </cols>
  <sheetData>
    <row r="4" spans="1:17" x14ac:dyDescent="0.25">
      <c r="B4" s="118" t="s">
        <v>26</v>
      </c>
      <c r="C4" s="118"/>
      <c r="D4" s="118"/>
      <c r="E4" s="118"/>
      <c r="F4" s="118"/>
      <c r="H4" t="s">
        <v>51</v>
      </c>
      <c r="J4" s="118" t="s">
        <v>28</v>
      </c>
      <c r="K4" s="118"/>
      <c r="L4" s="118"/>
      <c r="M4" s="118"/>
      <c r="N4" s="118"/>
    </row>
    <row r="5" spans="1:17" x14ac:dyDescent="0.25">
      <c r="C5" s="20"/>
      <c r="D5" s="20"/>
      <c r="E5" s="20"/>
      <c r="F5" s="16" t="s">
        <v>20</v>
      </c>
      <c r="H5" s="9" t="s">
        <v>49</v>
      </c>
      <c r="N5" s="9" t="s">
        <v>20</v>
      </c>
    </row>
    <row r="6" spans="1:17" x14ac:dyDescent="0.25">
      <c r="C6" s="20"/>
      <c r="D6" s="20"/>
      <c r="E6" s="20"/>
      <c r="F6" s="16"/>
      <c r="H6" s="18">
        <f>2.68*2</f>
        <v>5.36</v>
      </c>
      <c r="I6" s="25">
        <f>H6*0.92</f>
        <v>4.9312000000000005</v>
      </c>
      <c r="N6" s="9"/>
    </row>
    <row r="7" spans="1:17" x14ac:dyDescent="0.25">
      <c r="C7" s="20"/>
      <c r="D7" s="20"/>
      <c r="E7" s="20"/>
      <c r="F7" s="16"/>
      <c r="H7" s="18">
        <f>1.73*2</f>
        <v>3.46</v>
      </c>
      <c r="I7" s="25">
        <f>H7*0.92</f>
        <v>3.1832000000000003</v>
      </c>
      <c r="N7" s="9"/>
    </row>
    <row r="8" spans="1:17" x14ac:dyDescent="0.25">
      <c r="B8" t="s">
        <v>8</v>
      </c>
      <c r="C8" s="46">
        <v>1.73</v>
      </c>
      <c r="D8" s="49">
        <v>0.2</v>
      </c>
      <c r="E8" s="49">
        <v>0.92</v>
      </c>
      <c r="F8" s="50">
        <f>C8*D8*E8</f>
        <v>0.31832000000000005</v>
      </c>
      <c r="G8" t="s">
        <v>27</v>
      </c>
      <c r="H8" s="18">
        <f>0.225+1.73+0.2</f>
        <v>2.1550000000000002</v>
      </c>
      <c r="I8" s="25">
        <f>H8*0.92</f>
        <v>1.9826000000000004</v>
      </c>
      <c r="J8" t="s">
        <v>8</v>
      </c>
      <c r="K8" s="9">
        <v>3.105</v>
      </c>
      <c r="L8" s="9">
        <v>2.1549999999999998</v>
      </c>
      <c r="M8" s="9">
        <v>0.2</v>
      </c>
      <c r="N8" s="25">
        <f>K8*L8*M8</f>
        <v>1.338255</v>
      </c>
    </row>
    <row r="9" spans="1:17" x14ac:dyDescent="0.25">
      <c r="C9" s="46">
        <v>1.93</v>
      </c>
      <c r="D9" s="49">
        <v>0.22500000000000001</v>
      </c>
      <c r="E9" s="49">
        <v>0.92</v>
      </c>
      <c r="F9" s="50">
        <f t="shared" ref="F9:F18" si="0">C9*D9*E9</f>
        <v>0.39950999999999998</v>
      </c>
      <c r="G9" t="s">
        <v>27</v>
      </c>
      <c r="H9" s="18">
        <f>0.225+2.68+0.2</f>
        <v>3.1050000000000004</v>
      </c>
      <c r="I9" s="25">
        <f t="shared" ref="I9:I11" si="1">H9*0.92</f>
        <v>2.8566000000000007</v>
      </c>
    </row>
    <row r="10" spans="1:17" x14ac:dyDescent="0.25">
      <c r="B10" s="7"/>
      <c r="C10" s="46">
        <f>2.68+0.2</f>
        <v>2.8800000000000003</v>
      </c>
      <c r="D10" s="49">
        <v>0.2</v>
      </c>
      <c r="E10" s="49">
        <v>0.92</v>
      </c>
      <c r="F10" s="50">
        <f t="shared" si="0"/>
        <v>0.52992000000000006</v>
      </c>
      <c r="G10" t="s">
        <v>27</v>
      </c>
      <c r="H10" s="18">
        <f>1.73+0.2</f>
        <v>1.93</v>
      </c>
      <c r="I10" s="25">
        <f t="shared" si="1"/>
        <v>1.7756000000000001</v>
      </c>
    </row>
    <row r="11" spans="1:17" x14ac:dyDescent="0.25">
      <c r="C11" s="48">
        <f>0.2+2.68+0.225</f>
        <v>3.1050000000000004</v>
      </c>
      <c r="D11" s="49">
        <v>0.22500000000000001</v>
      </c>
      <c r="E11" s="49">
        <v>0.92</v>
      </c>
      <c r="F11" s="50">
        <f t="shared" si="0"/>
        <v>0.64273500000000017</v>
      </c>
      <c r="G11" t="s">
        <v>27</v>
      </c>
      <c r="H11" s="18">
        <f>0.2+2.68</f>
        <v>2.8800000000000003</v>
      </c>
      <c r="I11" s="25">
        <f t="shared" si="1"/>
        <v>2.6496000000000004</v>
      </c>
    </row>
    <row r="12" spans="1:17" x14ac:dyDescent="0.25">
      <c r="A12" s="20"/>
      <c r="B12" s="20"/>
      <c r="C12" s="53">
        <f>0.225+0.275+0.7+0.275+0.2</f>
        <v>1.675</v>
      </c>
      <c r="D12" s="47">
        <f>0.2+0.275+0.275+0.225</f>
        <v>0.97499999999999998</v>
      </c>
      <c r="E12" s="47">
        <v>0.27</v>
      </c>
      <c r="F12" s="51">
        <f>C12*D12*E12</f>
        <v>0.44094375000000002</v>
      </c>
      <c r="G12" s="41" t="s">
        <v>27</v>
      </c>
      <c r="H12" s="16"/>
      <c r="I12" s="10"/>
    </row>
    <row r="13" spans="1:17" x14ac:dyDescent="0.25">
      <c r="A13" s="20"/>
      <c r="B13" s="20"/>
      <c r="C13" s="46">
        <v>0.2</v>
      </c>
      <c r="D13" s="49">
        <v>0.2</v>
      </c>
      <c r="E13" s="49">
        <v>0.65</v>
      </c>
      <c r="F13" s="50">
        <f t="shared" si="0"/>
        <v>2.6000000000000006E-2</v>
      </c>
      <c r="G13" s="20" t="s">
        <v>27</v>
      </c>
      <c r="H13" s="18">
        <f>0.275+0.275+0.2</f>
        <v>0.75</v>
      </c>
      <c r="I13" s="25">
        <f>H13*0.92</f>
        <v>0.69000000000000006</v>
      </c>
      <c r="K13" s="9" t="s">
        <v>19</v>
      </c>
      <c r="L13" s="9" t="s">
        <v>18</v>
      </c>
    </row>
    <row r="14" spans="1:17" x14ac:dyDescent="0.25">
      <c r="A14" s="20"/>
      <c r="B14" s="20"/>
      <c r="C14" s="48">
        <v>0.22500000000000001</v>
      </c>
      <c r="D14" s="49">
        <v>0.2</v>
      </c>
      <c r="E14" s="49">
        <v>0.65</v>
      </c>
      <c r="F14" s="50">
        <f t="shared" si="0"/>
        <v>2.9250000000000005E-2</v>
      </c>
      <c r="G14" s="20"/>
      <c r="H14" s="18">
        <f>0.225+0.275+0.7+0.275+0.2</f>
        <v>1.675</v>
      </c>
      <c r="I14" s="25">
        <f t="shared" ref="I14:I16" si="2">H14*0.92</f>
        <v>1.5410000000000001</v>
      </c>
      <c r="J14" t="s">
        <v>14</v>
      </c>
      <c r="K14" s="13">
        <v>3.0249999999999999</v>
      </c>
      <c r="L14" s="18">
        <v>26</v>
      </c>
      <c r="N14" s="21">
        <f>(0.2+1.73+0.2)/0.2</f>
        <v>10.649999999999999</v>
      </c>
      <c r="O14">
        <f>11+2</f>
        <v>13</v>
      </c>
      <c r="P14">
        <f>O14*2</f>
        <v>26</v>
      </c>
      <c r="Q14" t="s">
        <v>25</v>
      </c>
    </row>
    <row r="15" spans="1:17" x14ac:dyDescent="0.25">
      <c r="A15" s="20"/>
      <c r="B15" s="20"/>
      <c r="C15" s="48">
        <v>0.22500000000000001</v>
      </c>
      <c r="D15" s="49">
        <v>0.2</v>
      </c>
      <c r="E15" s="49">
        <v>0.65</v>
      </c>
      <c r="F15" s="50">
        <f t="shared" si="0"/>
        <v>2.9250000000000005E-2</v>
      </c>
      <c r="G15" s="20" t="s">
        <v>27</v>
      </c>
      <c r="H15" s="18">
        <f>0.2+0.275+0.275+0.225</f>
        <v>0.97499999999999998</v>
      </c>
      <c r="I15" s="25">
        <f t="shared" si="2"/>
        <v>0.89700000000000002</v>
      </c>
      <c r="J15" t="s">
        <v>14</v>
      </c>
      <c r="K15" s="13">
        <v>2.0750000000000002</v>
      </c>
      <c r="L15" s="18">
        <v>36</v>
      </c>
      <c r="N15">
        <f>(0.2+2.68+0.2)/0.2</f>
        <v>15.400000000000002</v>
      </c>
      <c r="O15">
        <v>16</v>
      </c>
      <c r="P15">
        <f>18*2</f>
        <v>36</v>
      </c>
      <c r="Q15" t="s">
        <v>25</v>
      </c>
    </row>
    <row r="16" spans="1:17" x14ac:dyDescent="0.25">
      <c r="A16" s="20"/>
      <c r="B16" s="20"/>
      <c r="C16" s="48">
        <v>0.22500000000000001</v>
      </c>
      <c r="D16" s="49">
        <v>0.22500000000000001</v>
      </c>
      <c r="E16" s="49">
        <v>0.65</v>
      </c>
      <c r="F16" s="50">
        <f t="shared" si="0"/>
        <v>3.2906250000000005E-2</v>
      </c>
      <c r="G16" s="20" t="s">
        <v>27</v>
      </c>
      <c r="H16" s="18">
        <f>0.2+0.275+0.7+0.275</f>
        <v>1.4500000000000002</v>
      </c>
      <c r="I16" s="25">
        <f t="shared" si="2"/>
        <v>1.3340000000000003</v>
      </c>
      <c r="J16" t="s">
        <v>15</v>
      </c>
      <c r="K16" s="13">
        <v>0.82</v>
      </c>
      <c r="L16" s="18">
        <v>6</v>
      </c>
      <c r="N16" s="20">
        <f>3*2</f>
        <v>6</v>
      </c>
      <c r="O16" s="7"/>
    </row>
    <row r="17" spans="1:16" x14ac:dyDescent="0.25">
      <c r="A17" s="20"/>
      <c r="B17" s="20"/>
      <c r="C17" s="46">
        <v>0.15</v>
      </c>
      <c r="D17" s="49">
        <v>0.2</v>
      </c>
      <c r="E17" s="49">
        <v>0.65</v>
      </c>
      <c r="F17" s="50">
        <f t="shared" si="0"/>
        <v>1.95E-2</v>
      </c>
      <c r="G17" s="20" t="s">
        <v>27</v>
      </c>
      <c r="H17" s="20"/>
      <c r="I17" s="10"/>
      <c r="J17" t="s">
        <v>14</v>
      </c>
      <c r="K17" s="13">
        <v>0.85499999999999998</v>
      </c>
      <c r="L17" s="18">
        <f>P17</f>
        <v>62</v>
      </c>
      <c r="N17">
        <f>(14+2+2)*2</f>
        <v>36</v>
      </c>
      <c r="O17">
        <f>(9+2+2)*2</f>
        <v>26</v>
      </c>
      <c r="P17">
        <f>N17+O17</f>
        <v>62</v>
      </c>
    </row>
    <row r="18" spans="1:16" x14ac:dyDescent="0.25">
      <c r="A18" s="20"/>
      <c r="B18" s="20"/>
      <c r="C18" s="46">
        <v>0.15</v>
      </c>
      <c r="D18" s="49">
        <v>0.22500000000000001</v>
      </c>
      <c r="E18" s="49">
        <v>0.65</v>
      </c>
      <c r="F18" s="50">
        <f t="shared" si="0"/>
        <v>2.1937500000000002E-2</v>
      </c>
      <c r="G18" s="20" t="s">
        <v>27</v>
      </c>
      <c r="H18" s="18">
        <f>0.55*3</f>
        <v>1.6500000000000001</v>
      </c>
      <c r="I18" s="25">
        <f>H18*0.6504806</f>
        <v>1.0732929900000001</v>
      </c>
      <c r="K18" s="13"/>
      <c r="L18" s="9"/>
    </row>
    <row r="19" spans="1:16" x14ac:dyDescent="0.25">
      <c r="A19" s="20"/>
      <c r="B19" s="20"/>
      <c r="C19" s="46"/>
      <c r="D19" s="49"/>
      <c r="E19" s="49"/>
      <c r="F19" s="50"/>
      <c r="G19" s="20"/>
      <c r="H19" s="18">
        <f>0.55*3</f>
        <v>1.6500000000000001</v>
      </c>
      <c r="I19" s="25">
        <f>H19*0.6504806</f>
        <v>1.0732929900000001</v>
      </c>
      <c r="K19" s="43"/>
      <c r="L19" s="9"/>
    </row>
    <row r="20" spans="1:16" x14ac:dyDescent="0.25">
      <c r="A20" s="20"/>
      <c r="B20" s="20"/>
      <c r="C20" s="20"/>
      <c r="D20" s="20"/>
      <c r="E20" s="20"/>
      <c r="F20" s="20"/>
      <c r="G20" s="20"/>
      <c r="H20" s="18">
        <f>0.55*2</f>
        <v>1.1000000000000001</v>
      </c>
      <c r="I20" s="25">
        <f>H20*0.6504806</f>
        <v>0.71552866000000004</v>
      </c>
      <c r="K20" s="13"/>
      <c r="L20" s="9"/>
      <c r="M20" s="9" t="s">
        <v>21</v>
      </c>
      <c r="N20" s="9" t="s">
        <v>22</v>
      </c>
    </row>
    <row r="21" spans="1:16" x14ac:dyDescent="0.25">
      <c r="A21" s="20"/>
      <c r="B21" s="20"/>
      <c r="C21" s="46">
        <f>((0.225+0.2)/2)*E21</f>
        <v>0.13812500000000003</v>
      </c>
      <c r="D21" s="49">
        <v>0.55000000000000004</v>
      </c>
      <c r="E21" s="49">
        <v>0.65</v>
      </c>
      <c r="F21" s="50">
        <f>C21*D21</f>
        <v>7.5968750000000015E-2</v>
      </c>
      <c r="G21" s="24" t="s">
        <v>27</v>
      </c>
      <c r="I21" s="25">
        <f>SUM(I6:I20)</f>
        <v>24.702914639999999</v>
      </c>
      <c r="J21" s="118" t="s">
        <v>16</v>
      </c>
      <c r="K21" s="118"/>
      <c r="L21" s="118"/>
      <c r="M21" s="18">
        <v>8</v>
      </c>
      <c r="N21" s="17">
        <f>M21*1.93/1000</f>
        <v>1.5439999999999999E-2</v>
      </c>
    </row>
    <row r="22" spans="1:16" x14ac:dyDescent="0.25">
      <c r="A22" s="20"/>
      <c r="B22" s="20"/>
      <c r="C22" s="46">
        <f t="shared" ref="C22:C23" si="3">((0.225+0.2)/2)*E22</f>
        <v>0.13812500000000003</v>
      </c>
      <c r="D22" s="49">
        <v>0.55000000000000004</v>
      </c>
      <c r="E22" s="49">
        <v>0.65</v>
      </c>
      <c r="F22" s="50">
        <f t="shared" ref="F22:F24" si="4">C22*D22</f>
        <v>7.5968750000000015E-2</v>
      </c>
      <c r="G22" s="24" t="s">
        <v>27</v>
      </c>
    </row>
    <row r="23" spans="1:16" x14ac:dyDescent="0.25">
      <c r="B23" s="20"/>
      <c r="C23" s="46">
        <f t="shared" si="3"/>
        <v>0.13812500000000003</v>
      </c>
      <c r="D23" s="49">
        <v>0.55000000000000004</v>
      </c>
      <c r="E23" s="49">
        <v>0.65</v>
      </c>
      <c r="F23" s="50">
        <f t="shared" si="4"/>
        <v>7.5968750000000015E-2</v>
      </c>
      <c r="G23" s="24" t="s">
        <v>27</v>
      </c>
    </row>
    <row r="24" spans="1:16" x14ac:dyDescent="0.25">
      <c r="C24" s="46">
        <f>((0.25+0.225)/2)*E24</f>
        <v>0.15437499999999998</v>
      </c>
      <c r="D24" s="49">
        <v>0.55000000000000004</v>
      </c>
      <c r="E24" s="49">
        <v>0.65</v>
      </c>
      <c r="F24" s="50">
        <f t="shared" si="4"/>
        <v>8.4906250000000003E-2</v>
      </c>
      <c r="G24" s="24" t="s">
        <v>27</v>
      </c>
      <c r="K24" s="20"/>
      <c r="L24" s="20"/>
      <c r="M24" s="20"/>
      <c r="N24" s="20"/>
    </row>
    <row r="25" spans="1:16" x14ac:dyDescent="0.25">
      <c r="C25" s="20"/>
      <c r="D25" s="20"/>
      <c r="E25" s="20"/>
      <c r="F25" s="20"/>
      <c r="G25" s="24"/>
      <c r="K25" s="20"/>
      <c r="L25" s="20"/>
      <c r="M25" s="20"/>
      <c r="N25" s="20"/>
    </row>
    <row r="26" spans="1:16" x14ac:dyDescent="0.25">
      <c r="C26" s="46">
        <f>((0.25+0.225)/2)*E26</f>
        <v>0.15437499999999998</v>
      </c>
      <c r="D26" s="49">
        <v>0.55000000000000004</v>
      </c>
      <c r="E26" s="49">
        <v>0.65</v>
      </c>
      <c r="F26" s="50">
        <f t="shared" ref="F26:F27" si="5">C26*D26</f>
        <v>8.4906250000000003E-2</v>
      </c>
      <c r="G26" s="24" t="s">
        <v>27</v>
      </c>
      <c r="K26" s="20"/>
      <c r="L26" s="20"/>
      <c r="M26" s="20"/>
      <c r="N26" s="20"/>
    </row>
    <row r="27" spans="1:16" x14ac:dyDescent="0.25">
      <c r="C27" s="46">
        <f>((0.25+0.225)/2)*E27</f>
        <v>0.15437499999999998</v>
      </c>
      <c r="D27" s="49">
        <v>0.55000000000000004</v>
      </c>
      <c r="E27" s="49">
        <v>0.65</v>
      </c>
      <c r="F27" s="50">
        <f t="shared" si="5"/>
        <v>8.4906250000000003E-2</v>
      </c>
      <c r="G27" s="24" t="s">
        <v>27</v>
      </c>
      <c r="K27" s="20"/>
      <c r="L27" s="20"/>
      <c r="M27" s="20"/>
      <c r="N27" s="20"/>
    </row>
    <row r="28" spans="1:16" x14ac:dyDescent="0.25">
      <c r="C28" s="20"/>
      <c r="D28" s="20"/>
      <c r="E28" s="20"/>
      <c r="F28" s="20"/>
      <c r="K28" s="20"/>
      <c r="L28" s="20"/>
      <c r="M28" s="20"/>
      <c r="N28" s="20"/>
    </row>
    <row r="29" spans="1:16" x14ac:dyDescent="0.25">
      <c r="C29" s="46">
        <f>((0.2+0.15)/2)*E29</f>
        <v>0.11374999999999999</v>
      </c>
      <c r="D29" s="49">
        <v>0.55000000000000004</v>
      </c>
      <c r="E29" s="49">
        <v>0.65</v>
      </c>
      <c r="F29" s="50">
        <f t="shared" ref="F29" si="6">C29*D29</f>
        <v>6.2562499999999993E-2</v>
      </c>
      <c r="G29" s="24" t="s">
        <v>27</v>
      </c>
      <c r="K29" s="20"/>
      <c r="L29" s="20"/>
      <c r="M29" s="20"/>
      <c r="N29" s="20"/>
    </row>
    <row r="30" spans="1:16" x14ac:dyDescent="0.25">
      <c r="B30" t="s">
        <v>60</v>
      </c>
      <c r="C30" s="49">
        <v>0.22500000000000001</v>
      </c>
      <c r="D30" s="49">
        <v>0.22500000000000001</v>
      </c>
      <c r="E30" s="49">
        <v>0.92</v>
      </c>
      <c r="F30" s="52">
        <f>C30*D30*E30</f>
        <v>4.6575000000000005E-2</v>
      </c>
      <c r="G30" s="24" t="s">
        <v>50</v>
      </c>
    </row>
    <row r="31" spans="1:16" x14ac:dyDescent="0.25">
      <c r="C31" s="20"/>
      <c r="D31" s="20"/>
      <c r="E31" s="20"/>
      <c r="F31" s="42">
        <f>SUM(F8:F29)-F30</f>
        <v>2.9888849999999998</v>
      </c>
      <c r="G31" s="7">
        <v>2.99</v>
      </c>
    </row>
    <row r="33" spans="1:17" x14ac:dyDescent="0.25">
      <c r="B33" t="s">
        <v>17</v>
      </c>
      <c r="C33" s="9">
        <v>1.73</v>
      </c>
      <c r="D33" s="9">
        <v>2.68</v>
      </c>
      <c r="E33" s="9">
        <v>0.92</v>
      </c>
      <c r="F33" s="14">
        <f>C33*D33*E33</f>
        <v>4.2654880000000004</v>
      </c>
    </row>
    <row r="35" spans="1:17" x14ac:dyDescent="0.25">
      <c r="C35" t="s">
        <v>19</v>
      </c>
      <c r="D35" s="12"/>
    </row>
    <row r="36" spans="1:17" x14ac:dyDescent="0.25">
      <c r="A36" s="26">
        <v>1</v>
      </c>
      <c r="B36" t="s">
        <v>9</v>
      </c>
      <c r="C36" s="18">
        <v>158.19999999999999</v>
      </c>
      <c r="E36" s="55">
        <f>SUM(I36:I42)</f>
        <v>157.85</v>
      </c>
      <c r="F36" s="21">
        <f>0.225+1.73+0.2-0.04-0.04</f>
        <v>2.0750000000000002</v>
      </c>
      <c r="G36">
        <f>0.92/0.2</f>
        <v>4.5999999999999996</v>
      </c>
      <c r="H36" s="20">
        <f>5*2</f>
        <v>10</v>
      </c>
      <c r="I36" s="27">
        <f>H36*F36</f>
        <v>20.75</v>
      </c>
      <c r="K36" s="22"/>
      <c r="M36" s="20"/>
      <c r="N36" s="20"/>
    </row>
    <row r="37" spans="1:17" x14ac:dyDescent="0.25">
      <c r="A37" s="26"/>
      <c r="C37" s="9"/>
      <c r="F37" s="21">
        <f>0.2+2.68+0.225-0.04-0.04</f>
        <v>3.0250000000000004</v>
      </c>
      <c r="G37">
        <f>0.92/0.2</f>
        <v>4.5999999999999996</v>
      </c>
      <c r="H37" s="20">
        <f>5*2</f>
        <v>10</v>
      </c>
      <c r="I37" s="27">
        <f>H37*F37</f>
        <v>30.250000000000004</v>
      </c>
      <c r="K37" s="22"/>
      <c r="M37" s="20"/>
      <c r="N37" s="20"/>
    </row>
    <row r="38" spans="1:17" x14ac:dyDescent="0.25">
      <c r="A38" s="26"/>
      <c r="C38" s="9"/>
      <c r="F38" s="21">
        <f>0.2+1.73+0.225+0.275+0.275+0.2-0.04-0.04</f>
        <v>2.8249999999999997</v>
      </c>
      <c r="G38">
        <f>0.92/0.2</f>
        <v>4.5999999999999996</v>
      </c>
      <c r="H38" s="20">
        <f>5*2</f>
        <v>10</v>
      </c>
      <c r="I38" s="27">
        <f>H38*F38</f>
        <v>28.249999999999996</v>
      </c>
      <c r="J38" s="20"/>
      <c r="K38" s="28"/>
      <c r="L38" s="20"/>
      <c r="M38" s="20"/>
      <c r="N38" s="20"/>
      <c r="O38" s="20"/>
      <c r="P38" s="20"/>
      <c r="Q38" s="20"/>
    </row>
    <row r="39" spans="1:17" x14ac:dyDescent="0.25">
      <c r="A39" s="26"/>
      <c r="C39" s="9"/>
      <c r="F39" s="54">
        <f>0.2+2.68+0.225+0.275+0.7+0.275+0.2-0.04-0.04</f>
        <v>4.4750000000000005</v>
      </c>
      <c r="G39">
        <f>0.92/0.2</f>
        <v>4.5999999999999996</v>
      </c>
      <c r="H39" s="20">
        <f>5*2</f>
        <v>10</v>
      </c>
      <c r="I39" s="27">
        <f>H39*F39</f>
        <v>44.750000000000007</v>
      </c>
      <c r="J39" s="20"/>
      <c r="K39" s="28"/>
      <c r="L39" s="20"/>
      <c r="M39" s="20"/>
      <c r="N39" s="20"/>
      <c r="O39" s="20"/>
      <c r="P39" s="20"/>
      <c r="Q39" s="20"/>
    </row>
    <row r="40" spans="1:17" x14ac:dyDescent="0.25">
      <c r="A40" s="26"/>
      <c r="C40" s="9"/>
      <c r="F40" s="22"/>
      <c r="H40" s="20"/>
      <c r="I40" s="20"/>
      <c r="J40" s="20"/>
      <c r="K40" s="28"/>
      <c r="L40" s="20"/>
      <c r="M40" s="20"/>
      <c r="N40" s="20"/>
      <c r="O40" s="20"/>
      <c r="P40" s="20"/>
      <c r="Q40" s="20"/>
    </row>
    <row r="41" spans="1:17" x14ac:dyDescent="0.25">
      <c r="A41" s="26"/>
      <c r="C41" s="9"/>
      <c r="F41" s="22">
        <f>0.225+0.275+0.7+0.275+0.2-0.04-0.04</f>
        <v>1.595</v>
      </c>
      <c r="G41">
        <f>0.92/0.2</f>
        <v>4.5999999999999996</v>
      </c>
      <c r="H41" s="20">
        <f>5*2</f>
        <v>10</v>
      </c>
      <c r="I41" s="27">
        <f>H41*F41</f>
        <v>15.95</v>
      </c>
      <c r="J41" s="20"/>
      <c r="K41" s="28"/>
      <c r="L41" s="20"/>
      <c r="M41" s="20"/>
      <c r="N41" s="20"/>
      <c r="O41" s="20"/>
      <c r="P41" s="20"/>
      <c r="Q41" s="20"/>
    </row>
    <row r="42" spans="1:17" x14ac:dyDescent="0.25">
      <c r="A42" s="26"/>
      <c r="C42" s="9"/>
      <c r="F42" s="54">
        <f>0.2+0.275+0.275+0.225-0.04-0.04</f>
        <v>0.89499999999999991</v>
      </c>
      <c r="G42">
        <f>0.92/0.2</f>
        <v>4.5999999999999996</v>
      </c>
      <c r="H42" s="20">
        <f>5*2*2</f>
        <v>20</v>
      </c>
      <c r="I42" s="27">
        <f>H42*F42</f>
        <v>17.899999999999999</v>
      </c>
      <c r="J42" s="20"/>
      <c r="K42" s="28"/>
      <c r="L42" s="20"/>
      <c r="M42" s="20"/>
      <c r="N42" s="20"/>
      <c r="O42" s="20"/>
      <c r="P42" s="20"/>
      <c r="Q42" s="20"/>
    </row>
    <row r="43" spans="1:17" x14ac:dyDescent="0.25">
      <c r="A43" s="26"/>
      <c r="C43" s="9"/>
      <c r="F43" s="22"/>
      <c r="H43" s="20"/>
      <c r="I43" s="20"/>
      <c r="J43" s="20"/>
      <c r="K43" s="28"/>
      <c r="L43" s="20"/>
      <c r="M43" s="20"/>
      <c r="N43" s="20"/>
      <c r="O43" s="20"/>
      <c r="P43" s="20"/>
      <c r="Q43" s="20"/>
    </row>
    <row r="44" spans="1:17" x14ac:dyDescent="0.25">
      <c r="A44" s="26"/>
      <c r="C44" s="9"/>
      <c r="D44" t="s">
        <v>18</v>
      </c>
      <c r="F44" s="22"/>
      <c r="H44" s="20"/>
      <c r="I44" s="20"/>
      <c r="J44" s="20"/>
      <c r="K44" s="28"/>
      <c r="L44" s="20"/>
      <c r="M44" s="20"/>
      <c r="N44" s="20"/>
      <c r="O44" s="20"/>
      <c r="P44" s="20"/>
      <c r="Q44" s="20"/>
    </row>
    <row r="45" spans="1:17" x14ac:dyDescent="0.25">
      <c r="A45" s="26" t="s">
        <v>62</v>
      </c>
      <c r="B45" s="9" t="s">
        <v>9</v>
      </c>
      <c r="C45" s="9">
        <v>0.9</v>
      </c>
      <c r="D45" s="18">
        <v>20</v>
      </c>
      <c r="E45" s="18">
        <f>5+5+5+5</f>
        <v>20</v>
      </c>
      <c r="F45">
        <f>0.92/0.2</f>
        <v>4.5999999999999996</v>
      </c>
      <c r="G45">
        <f>5</f>
        <v>5</v>
      </c>
      <c r="H45" s="20" t="s">
        <v>65</v>
      </c>
      <c r="I45" s="20"/>
      <c r="J45" s="20"/>
      <c r="K45" s="28"/>
      <c r="L45" s="20"/>
      <c r="M45" s="20"/>
      <c r="N45" s="20"/>
      <c r="O45" s="20"/>
      <c r="P45" s="20"/>
      <c r="Q45" s="20"/>
    </row>
    <row r="46" spans="1:17" x14ac:dyDescent="0.25">
      <c r="A46" s="26" t="s">
        <v>63</v>
      </c>
      <c r="B46" s="9" t="s">
        <v>9</v>
      </c>
      <c r="C46" s="9">
        <v>0.88</v>
      </c>
      <c r="D46" s="18">
        <v>17</v>
      </c>
      <c r="E46" s="18">
        <v>17</v>
      </c>
      <c r="F46">
        <f>0.92/0.2</f>
        <v>4.5999999999999996</v>
      </c>
      <c r="G46">
        <f>5</f>
        <v>5</v>
      </c>
      <c r="H46" t="s">
        <v>66</v>
      </c>
      <c r="I46" s="20"/>
      <c r="J46" s="20"/>
      <c r="K46" s="20"/>
      <c r="L46" s="20"/>
      <c r="M46" s="20"/>
      <c r="N46" s="20"/>
      <c r="O46" s="20"/>
      <c r="P46" s="20"/>
      <c r="Q46" s="20"/>
    </row>
    <row r="47" spans="1:17" x14ac:dyDescent="0.25">
      <c r="A47" s="26" t="s">
        <v>11</v>
      </c>
      <c r="B47" s="9" t="s">
        <v>9</v>
      </c>
      <c r="C47" s="9">
        <v>0.875</v>
      </c>
      <c r="D47" s="18">
        <v>40</v>
      </c>
      <c r="E47" s="18">
        <f>5+5+10+5+5+10</f>
        <v>40</v>
      </c>
      <c r="F47">
        <f>(0.92/0.2)</f>
        <v>4.5999999999999996</v>
      </c>
      <c r="I47" s="20"/>
      <c r="J47" s="20"/>
      <c r="K47" s="20"/>
      <c r="L47" s="20"/>
      <c r="M47" s="20"/>
      <c r="N47" s="20"/>
      <c r="O47" s="20"/>
      <c r="P47" s="20"/>
      <c r="Q47" s="20"/>
    </row>
    <row r="48" spans="1:17" x14ac:dyDescent="0.25">
      <c r="A48" s="26" t="s">
        <v>30</v>
      </c>
      <c r="B48" s="9" t="s">
        <v>9</v>
      </c>
      <c r="C48" s="9">
        <v>0.85499999999999998</v>
      </c>
      <c r="D48" s="18">
        <v>13</v>
      </c>
      <c r="E48" s="18">
        <f>3+3+3+2+2</f>
        <v>13</v>
      </c>
    </row>
    <row r="49" spans="1:11" x14ac:dyDescent="0.25">
      <c r="A49" s="26" t="s">
        <v>32</v>
      </c>
      <c r="B49" s="9" t="s">
        <v>9</v>
      </c>
      <c r="C49" s="9">
        <v>0.84499999999999997</v>
      </c>
      <c r="D49" s="18">
        <v>10</v>
      </c>
      <c r="E49" s="18">
        <f>5+5</f>
        <v>10</v>
      </c>
      <c r="F49">
        <f>(0.92/0.2)</f>
        <v>4.5999999999999996</v>
      </c>
      <c r="G49">
        <v>5</v>
      </c>
      <c r="H49" t="s">
        <v>67</v>
      </c>
    </row>
    <row r="50" spans="1:11" x14ac:dyDescent="0.25">
      <c r="A50" s="26" t="s">
        <v>33</v>
      </c>
      <c r="B50" s="9" t="s">
        <v>9</v>
      </c>
      <c r="C50" s="9">
        <v>0.82499999999999996</v>
      </c>
      <c r="D50" s="18">
        <v>3</v>
      </c>
      <c r="E50" s="18">
        <v>3</v>
      </c>
      <c r="F50">
        <f>(0.55)/0.2</f>
        <v>2.75</v>
      </c>
      <c r="G50">
        <v>3</v>
      </c>
      <c r="H50" t="s">
        <v>68</v>
      </c>
    </row>
    <row r="51" spans="1:11" x14ac:dyDescent="0.25">
      <c r="A51" s="26" t="s">
        <v>12</v>
      </c>
      <c r="B51" s="9" t="s">
        <v>31</v>
      </c>
      <c r="C51" s="9">
        <v>0.27500000000000002</v>
      </c>
      <c r="D51" s="16">
        <v>76</v>
      </c>
      <c r="E51" s="9"/>
    </row>
    <row r="52" spans="1:11" x14ac:dyDescent="0.25">
      <c r="A52" s="26" t="s">
        <v>64</v>
      </c>
      <c r="B52" s="9" t="s">
        <v>31</v>
      </c>
      <c r="C52" s="9">
        <v>0.25</v>
      </c>
      <c r="D52" s="16">
        <v>75</v>
      </c>
      <c r="E52" s="9"/>
    </row>
    <row r="53" spans="1:11" x14ac:dyDescent="0.25">
      <c r="A53" s="26"/>
      <c r="B53" s="9"/>
      <c r="C53" s="9"/>
      <c r="D53" s="9"/>
    </row>
    <row r="54" spans="1:11" x14ac:dyDescent="0.25">
      <c r="A54" s="26"/>
      <c r="B54" s="9"/>
      <c r="C54" s="9"/>
      <c r="F54" t="s">
        <v>12</v>
      </c>
      <c r="G54" s="7"/>
      <c r="H54" s="49">
        <f>7</f>
        <v>7</v>
      </c>
      <c r="I54" s="49">
        <v>5</v>
      </c>
      <c r="J54" s="49">
        <f>H54*I54</f>
        <v>35</v>
      </c>
    </row>
    <row r="55" spans="1:11" x14ac:dyDescent="0.25">
      <c r="A55" s="26"/>
      <c r="B55" s="9"/>
      <c r="C55" s="10"/>
      <c r="D55" s="9"/>
      <c r="E55" s="9"/>
      <c r="F55" s="9"/>
      <c r="G55" s="58"/>
      <c r="H55" s="60">
        <f>5</f>
        <v>5</v>
      </c>
      <c r="I55" s="49">
        <v>3</v>
      </c>
      <c r="J55" s="49">
        <f>H55*I55</f>
        <v>15</v>
      </c>
    </row>
    <row r="56" spans="1:11" x14ac:dyDescent="0.25">
      <c r="A56" s="26"/>
      <c r="B56" s="9"/>
      <c r="C56" s="10"/>
      <c r="D56" s="16"/>
      <c r="E56" s="9"/>
      <c r="F56" s="9"/>
      <c r="G56" s="121"/>
      <c r="H56" s="49">
        <v>4</v>
      </c>
      <c r="I56" s="49">
        <v>2</v>
      </c>
      <c r="J56" s="49">
        <f>H56*I56</f>
        <v>8</v>
      </c>
    </row>
    <row r="57" spans="1:11" x14ac:dyDescent="0.25">
      <c r="A57" s="26"/>
      <c r="B57" s="9"/>
      <c r="D57" s="20"/>
      <c r="G57" s="121"/>
      <c r="H57" s="49">
        <v>4</v>
      </c>
      <c r="I57" s="49">
        <v>2</v>
      </c>
      <c r="J57" s="49">
        <f t="shared" ref="J57:J60" si="7">H57*I57</f>
        <v>8</v>
      </c>
    </row>
    <row r="58" spans="1:11" x14ac:dyDescent="0.25">
      <c r="A58" s="26"/>
      <c r="B58" s="9"/>
      <c r="D58" s="20"/>
      <c r="G58" s="22"/>
      <c r="H58" s="49">
        <v>2</v>
      </c>
      <c r="I58" s="49">
        <v>2</v>
      </c>
      <c r="J58" s="49">
        <f t="shared" si="7"/>
        <v>4</v>
      </c>
    </row>
    <row r="59" spans="1:11" x14ac:dyDescent="0.25">
      <c r="A59" s="26"/>
      <c r="B59" s="9"/>
      <c r="D59" s="20"/>
      <c r="G59" s="22"/>
      <c r="H59" s="49">
        <v>2</v>
      </c>
      <c r="I59" s="49">
        <v>2</v>
      </c>
      <c r="J59" s="49">
        <f t="shared" si="7"/>
        <v>4</v>
      </c>
    </row>
    <row r="60" spans="1:11" x14ac:dyDescent="0.25">
      <c r="A60" s="26"/>
      <c r="B60" s="9"/>
      <c r="D60" s="20"/>
      <c r="E60" s="20"/>
      <c r="H60" s="49">
        <v>1</v>
      </c>
      <c r="I60" s="49">
        <v>2</v>
      </c>
      <c r="J60" s="49">
        <f t="shared" si="7"/>
        <v>2</v>
      </c>
    </row>
    <row r="61" spans="1:11" x14ac:dyDescent="0.25">
      <c r="A61" s="26"/>
      <c r="B61" s="9"/>
      <c r="D61" s="20"/>
      <c r="E61" s="20"/>
      <c r="H61" s="20"/>
      <c r="I61" s="20"/>
      <c r="J61" s="20">
        <f>SUM(J54:J60)</f>
        <v>76</v>
      </c>
      <c r="K61" s="20"/>
    </row>
    <row r="62" spans="1:11" x14ac:dyDescent="0.25">
      <c r="A62" s="26"/>
      <c r="B62" s="9"/>
      <c r="C62" s="10"/>
      <c r="D62" s="16"/>
      <c r="E62" s="9"/>
      <c r="F62" s="9"/>
      <c r="G62" s="9"/>
    </row>
    <row r="63" spans="1:11" x14ac:dyDescent="0.25">
      <c r="A63" s="26"/>
      <c r="B63" s="9"/>
      <c r="C63" s="10"/>
      <c r="D63" s="16"/>
      <c r="E63" s="9"/>
      <c r="F63" s="59" t="s">
        <v>64</v>
      </c>
      <c r="G63" s="7"/>
      <c r="H63" s="49">
        <v>7</v>
      </c>
      <c r="I63" s="49">
        <v>5</v>
      </c>
      <c r="J63" s="49">
        <f>H63*I63</f>
        <v>35</v>
      </c>
    </row>
    <row r="64" spans="1:11" x14ac:dyDescent="0.25">
      <c r="A64" s="26"/>
      <c r="B64" s="9"/>
      <c r="D64" s="20"/>
      <c r="G64" s="121"/>
      <c r="H64" s="49">
        <f>4</f>
        <v>4</v>
      </c>
      <c r="I64" s="49">
        <v>3</v>
      </c>
      <c r="J64" s="49">
        <f>H64*I64</f>
        <v>12</v>
      </c>
    </row>
    <row r="65" spans="1:11" x14ac:dyDescent="0.25">
      <c r="A65" s="26"/>
      <c r="B65" s="9"/>
      <c r="D65" s="20"/>
      <c r="G65" s="121"/>
      <c r="H65" s="49">
        <v>5</v>
      </c>
      <c r="I65" s="49">
        <v>2</v>
      </c>
      <c r="J65" s="49">
        <f>H65*I65</f>
        <v>10</v>
      </c>
    </row>
    <row r="66" spans="1:11" x14ac:dyDescent="0.25">
      <c r="A66" s="26"/>
      <c r="B66" s="9"/>
      <c r="D66" s="20"/>
      <c r="G66" s="12"/>
      <c r="H66" s="49">
        <v>4</v>
      </c>
      <c r="I66" s="49">
        <v>2</v>
      </c>
      <c r="J66" s="49">
        <f t="shared" ref="J66:J69" si="8">H66*I66</f>
        <v>8</v>
      </c>
    </row>
    <row r="67" spans="1:11" x14ac:dyDescent="0.25">
      <c r="A67" s="26"/>
      <c r="B67" s="9"/>
      <c r="C67" s="9"/>
      <c r="D67" s="16"/>
      <c r="E67" s="9"/>
      <c r="F67" s="9"/>
      <c r="G67" s="9"/>
      <c r="H67" s="49">
        <v>2</v>
      </c>
      <c r="I67" s="49">
        <v>2</v>
      </c>
      <c r="J67" s="49">
        <f t="shared" si="8"/>
        <v>4</v>
      </c>
    </row>
    <row r="68" spans="1:11" x14ac:dyDescent="0.25">
      <c r="A68" s="26"/>
      <c r="B68" s="9"/>
      <c r="C68" s="9"/>
      <c r="D68" s="16"/>
      <c r="E68" s="9"/>
      <c r="F68" s="9"/>
      <c r="G68" s="9"/>
      <c r="H68" s="49">
        <v>1</v>
      </c>
      <c r="I68" s="49">
        <v>2</v>
      </c>
      <c r="J68" s="49">
        <f t="shared" si="8"/>
        <v>2</v>
      </c>
    </row>
    <row r="69" spans="1:11" x14ac:dyDescent="0.25">
      <c r="A69" s="26"/>
      <c r="B69" s="9"/>
      <c r="C69" s="9"/>
      <c r="D69" s="16"/>
      <c r="E69" s="9"/>
      <c r="F69" s="9"/>
      <c r="G69" s="9"/>
      <c r="H69" s="49">
        <v>2</v>
      </c>
      <c r="I69" s="49">
        <v>2</v>
      </c>
      <c r="J69" s="49">
        <f t="shared" si="8"/>
        <v>4</v>
      </c>
    </row>
    <row r="70" spans="1:11" x14ac:dyDescent="0.25">
      <c r="A70" s="26"/>
      <c r="B70" s="9"/>
      <c r="D70" s="20"/>
      <c r="G70" s="12"/>
      <c r="J70" s="49">
        <f>SUM(J63:J69)</f>
        <v>75</v>
      </c>
    </row>
    <row r="71" spans="1:11" x14ac:dyDescent="0.25">
      <c r="A71" s="26"/>
      <c r="B71" s="9"/>
      <c r="C71" s="9"/>
      <c r="D71" s="16"/>
      <c r="E71" s="9"/>
      <c r="F71" s="12"/>
      <c r="G71" s="9"/>
    </row>
    <row r="72" spans="1:11" x14ac:dyDescent="0.25">
      <c r="A72" s="26"/>
      <c r="B72" s="9"/>
      <c r="C72" s="9"/>
      <c r="D72" s="16"/>
      <c r="G72" s="12"/>
    </row>
    <row r="73" spans="1:11" x14ac:dyDescent="0.25">
      <c r="A73" s="26"/>
      <c r="B73" s="9"/>
      <c r="C73" s="9"/>
      <c r="D73" s="16"/>
      <c r="E73" s="9"/>
      <c r="F73" s="12"/>
      <c r="G73" s="9"/>
    </row>
    <row r="74" spans="1:11" x14ac:dyDescent="0.25">
      <c r="A74" s="26"/>
      <c r="B74" s="9"/>
      <c r="C74" s="9"/>
      <c r="D74" s="9"/>
      <c r="G74" s="12"/>
    </row>
    <row r="75" spans="1:11" x14ac:dyDescent="0.25">
      <c r="G75" s="57"/>
    </row>
    <row r="76" spans="1:11" x14ac:dyDescent="0.25">
      <c r="A76" s="118" t="s">
        <v>35</v>
      </c>
      <c r="B76" s="118"/>
      <c r="C76" s="118"/>
      <c r="D76" s="18">
        <v>4</v>
      </c>
      <c r="E76" s="19">
        <f>F77*D76/1000</f>
        <v>5.0125079999999995E-2</v>
      </c>
    </row>
    <row r="77" spans="1:11" x14ac:dyDescent="0.25">
      <c r="B77" s="9" t="s">
        <v>9</v>
      </c>
      <c r="C77" s="9">
        <v>1.595</v>
      </c>
      <c r="D77" s="12">
        <v>6</v>
      </c>
      <c r="E77" s="13">
        <f>C77*D77*0.617</f>
        <v>5.9046900000000004</v>
      </c>
      <c r="F77" s="119">
        <f>(E77+E78)</f>
        <v>12.531269999999999</v>
      </c>
      <c r="I77" s="45">
        <f>1.595*0.617</f>
        <v>0.98411499999999996</v>
      </c>
      <c r="J77">
        <f>0.984*6</f>
        <v>5.9039999999999999</v>
      </c>
      <c r="K77" s="120">
        <f>J77+J78</f>
        <v>12.528</v>
      </c>
    </row>
    <row r="78" spans="1:11" x14ac:dyDescent="0.25">
      <c r="B78" s="9" t="s">
        <v>9</v>
      </c>
      <c r="C78" s="9">
        <v>0.89500000000000002</v>
      </c>
      <c r="D78" s="12">
        <v>12</v>
      </c>
      <c r="E78" s="13">
        <f>C78*D78*0.617</f>
        <v>6.6265799999999997</v>
      </c>
      <c r="F78" s="119"/>
      <c r="G78" t="s">
        <v>34</v>
      </c>
      <c r="I78" s="45">
        <f>0.895*0.617</f>
        <v>0.55221500000000001</v>
      </c>
      <c r="J78">
        <f>0.552*12</f>
        <v>6.6240000000000006</v>
      </c>
      <c r="K78" s="120"/>
    </row>
    <row r="81" spans="2:9" x14ac:dyDescent="0.25">
      <c r="B81" t="s">
        <v>75</v>
      </c>
    </row>
    <row r="82" spans="2:9" x14ac:dyDescent="0.25">
      <c r="B82" s="56" t="s">
        <v>76</v>
      </c>
      <c r="C82" s="56" t="s">
        <v>77</v>
      </c>
      <c r="G82" t="s">
        <v>78</v>
      </c>
      <c r="I82" t="s">
        <v>79</v>
      </c>
    </row>
    <row r="83" spans="2:9" x14ac:dyDescent="0.25">
      <c r="B83">
        <f>0.225+1.73+0.2</f>
        <v>2.1550000000000002</v>
      </c>
      <c r="C83">
        <f>2.42-2.18</f>
        <v>0.23999999999999977</v>
      </c>
      <c r="D83" s="7">
        <f>B83*C83</f>
        <v>0.51719999999999955</v>
      </c>
      <c r="G83" s="7">
        <f>B91*0.92</f>
        <v>13.726400000000002</v>
      </c>
      <c r="I83">
        <f>0.24+0.4+1.8+0.4+0.265</f>
        <v>3.105</v>
      </c>
    </row>
    <row r="84" spans="2:9" x14ac:dyDescent="0.25">
      <c r="B84">
        <f>0.2+2.68+0.225</f>
        <v>3.1050000000000004</v>
      </c>
      <c r="C84">
        <f t="shared" ref="C84:C90" si="9">2.42-2.18</f>
        <v>0.23999999999999977</v>
      </c>
      <c r="D84" s="7">
        <f t="shared" ref="D84:D90" si="10">B84*C84</f>
        <v>0.74519999999999942</v>
      </c>
      <c r="G84">
        <f>8.82*0.92</f>
        <v>8.1143999999999998</v>
      </c>
      <c r="I84">
        <f>0.265+0.49+0.67+0.49+0.24</f>
        <v>2.1550000000000002</v>
      </c>
    </row>
    <row r="85" spans="2:9" x14ac:dyDescent="0.25">
      <c r="B85">
        <f>0.2+1.73</f>
        <v>1.93</v>
      </c>
      <c r="C85">
        <f t="shared" si="9"/>
        <v>0.23999999999999977</v>
      </c>
      <c r="D85" s="7">
        <f t="shared" si="10"/>
        <v>0.46319999999999956</v>
      </c>
      <c r="G85">
        <f>(2.2+2.2)*0.65</f>
        <v>2.8600000000000003</v>
      </c>
      <c r="I85">
        <f>(3.105+2.155+3.105+2.155)*0.2</f>
        <v>2.1040000000000001</v>
      </c>
    </row>
    <row r="86" spans="2:9" x14ac:dyDescent="0.25">
      <c r="B86">
        <f>0.2+2.68</f>
        <v>2.8800000000000003</v>
      </c>
      <c r="C86">
        <f t="shared" si="9"/>
        <v>0.23999999999999977</v>
      </c>
      <c r="D86" s="7">
        <f t="shared" si="10"/>
        <v>0.69119999999999937</v>
      </c>
      <c r="G86" s="7">
        <f>SUM(G83:G85)</f>
        <v>24.700800000000001</v>
      </c>
    </row>
    <row r="87" spans="2:9" x14ac:dyDescent="0.25">
      <c r="B87">
        <f>0.225+0.275+0.7+0.275+0.2</f>
        <v>1.675</v>
      </c>
      <c r="C87">
        <f t="shared" si="9"/>
        <v>0.23999999999999977</v>
      </c>
      <c r="D87" s="7">
        <f t="shared" si="10"/>
        <v>0.40199999999999964</v>
      </c>
    </row>
    <row r="88" spans="2:9" x14ac:dyDescent="0.25">
      <c r="B88">
        <f>0.2+0.275+0.275+0.225</f>
        <v>0.97499999999999998</v>
      </c>
      <c r="C88">
        <f t="shared" si="9"/>
        <v>0.23999999999999977</v>
      </c>
      <c r="D88" s="7">
        <f t="shared" si="10"/>
        <v>0.23399999999999976</v>
      </c>
    </row>
    <row r="89" spans="2:9" x14ac:dyDescent="0.25">
      <c r="B89">
        <f>0.2+0.275+0.7+0.275</f>
        <v>1.4500000000000002</v>
      </c>
      <c r="C89">
        <f t="shared" si="9"/>
        <v>0.23999999999999977</v>
      </c>
      <c r="D89" s="7">
        <f t="shared" si="10"/>
        <v>0.3479999999999997</v>
      </c>
    </row>
    <row r="90" spans="2:9" x14ac:dyDescent="0.25">
      <c r="B90">
        <f>0.2+0.275+0.275</f>
        <v>0.75</v>
      </c>
      <c r="C90">
        <f t="shared" si="9"/>
        <v>0.23999999999999977</v>
      </c>
      <c r="D90" s="7">
        <f t="shared" si="10"/>
        <v>0.17999999999999983</v>
      </c>
    </row>
    <row r="91" spans="2:9" x14ac:dyDescent="0.25">
      <c r="B91">
        <f>SUM(B83:B90)</f>
        <v>14.920000000000002</v>
      </c>
      <c r="D91" s="61">
        <f>SUM(D83:D90)</f>
        <v>3.5807999999999973</v>
      </c>
    </row>
    <row r="92" spans="2:9" x14ac:dyDescent="0.25">
      <c r="D92" s="24"/>
      <c r="E92" s="20"/>
    </row>
    <row r="93" spans="2:9" x14ac:dyDescent="0.25">
      <c r="D93" s="20"/>
      <c r="E93" s="20"/>
    </row>
    <row r="94" spans="2:9" x14ac:dyDescent="0.25">
      <c r="D94" s="20"/>
      <c r="E94" s="20"/>
    </row>
  </sheetData>
  <mergeCells count="8">
    <mergeCell ref="B4:F4"/>
    <mergeCell ref="J4:N4"/>
    <mergeCell ref="J21:L21"/>
    <mergeCell ref="F77:F78"/>
    <mergeCell ref="A76:C76"/>
    <mergeCell ref="K77:K78"/>
    <mergeCell ref="G64:G65"/>
    <mergeCell ref="G56:G5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ВОР</vt:lpstr>
      <vt:lpstr>СтЛ-1, ПМЛ-1</vt:lpstr>
      <vt:lpstr>СтЛ-2, ПМЛ-2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Киреева Анастасия Витальевна</cp:lastModifiedBy>
  <dcterms:created xsi:type="dcterms:W3CDTF">2015-06-05T18:19:34Z</dcterms:created>
  <dcterms:modified xsi:type="dcterms:W3CDTF">2025-11-26T03:32:11Z</dcterms:modified>
</cp:coreProperties>
</file>