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.komarovskaya\Desktop\НСО СПОРТИВНАЯ\ВОР\ВОР №3. РОСТВЕРК\"/>
    </mc:Choice>
  </mc:AlternateContent>
  <xr:revisionPtr revIDLastSave="0" documentId="13_ncr:1_{2C65D0E5-2637-4B2C-9774-894535AF3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ОР" sheetId="1" r:id="rId1"/>
    <sheet name="Бетон" sheetId="4" state="hidden" r:id="rId2"/>
    <sheet name="Бетонная подготовка" sheetId="8" state="hidden" r:id="rId3"/>
    <sheet name="Каркасы" sheetId="9" state="hidden" r:id="rId4"/>
    <sheet name="Гидроизоляция" sheetId="11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0" i="1"/>
  <c r="J144" i="1"/>
  <c r="L145" i="1"/>
  <c r="L146" i="1"/>
  <c r="K146" i="1"/>
  <c r="J146" i="1"/>
  <c r="E143" i="1"/>
  <c r="J145" i="1" l="1"/>
  <c r="L144" i="1"/>
  <c r="L141" i="1"/>
  <c r="K144" i="1"/>
  <c r="K141" i="1"/>
  <c r="K140" i="1"/>
  <c r="K138" i="1"/>
  <c r="K136" i="1"/>
  <c r="J133" i="1"/>
  <c r="G82" i="1"/>
  <c r="G83" i="1" s="1"/>
  <c r="G79" i="1"/>
  <c r="G80" i="1" s="1"/>
  <c r="G78" i="1"/>
  <c r="G77" i="1"/>
  <c r="E71" i="1"/>
  <c r="G69" i="1"/>
  <c r="E68" i="1"/>
  <c r="H68" i="1"/>
  <c r="G68" i="1"/>
  <c r="E73" i="1"/>
  <c r="E69" i="1"/>
  <c r="G66" i="1"/>
  <c r="G62" i="1"/>
  <c r="G63" i="1" s="1"/>
  <c r="G60" i="1"/>
  <c r="G56" i="1"/>
  <c r="G52" i="1"/>
  <c r="G53" i="1" s="1"/>
  <c r="G49" i="1"/>
  <c r="G50" i="1" s="1"/>
  <c r="G46" i="1"/>
  <c r="G47" i="1" s="1"/>
  <c r="G45" i="1"/>
  <c r="G38" i="1"/>
  <c r="G39" i="1" s="1"/>
  <c r="G35" i="1"/>
  <c r="G36" i="1" s="1"/>
  <c r="G32" i="1"/>
  <c r="G33" i="1" s="1"/>
  <c r="G31" i="1"/>
  <c r="G30" i="1"/>
  <c r="G24" i="1"/>
  <c r="G25" i="1" s="1"/>
  <c r="G21" i="1"/>
  <c r="G22" i="1" s="1"/>
  <c r="G20" i="1"/>
  <c r="G19" i="1"/>
  <c r="D5" i="11"/>
  <c r="G12" i="1"/>
  <c r="G13" i="1" s="1"/>
  <c r="G10" i="1"/>
  <c r="G11" i="1" s="1"/>
  <c r="G9" i="1"/>
  <c r="G8" i="1"/>
  <c r="E140" i="1"/>
  <c r="F97" i="9"/>
  <c r="F96" i="9"/>
  <c r="F95" i="9"/>
  <c r="F94" i="9"/>
  <c r="D94" i="9"/>
  <c r="E128" i="1"/>
  <c r="E94" i="9"/>
  <c r="C94" i="9"/>
  <c r="B94" i="9"/>
  <c r="E130" i="1" l="1"/>
  <c r="E127" i="1"/>
  <c r="G127" i="1"/>
  <c r="G114" i="1"/>
  <c r="E114" i="1"/>
  <c r="G101" i="1"/>
  <c r="E101" i="1"/>
  <c r="J141" i="1" s="1"/>
  <c r="G100" i="1"/>
  <c r="G97" i="1"/>
  <c r="G96" i="1"/>
  <c r="H96" i="1" s="1"/>
  <c r="E98" i="1"/>
  <c r="G93" i="1"/>
  <c r="G92" i="1"/>
  <c r="E99" i="1" l="1"/>
  <c r="J140" i="1" s="1"/>
  <c r="J139" i="1"/>
  <c r="H92" i="1"/>
  <c r="E90" i="1" l="1"/>
  <c r="E91" i="1" s="1"/>
  <c r="F96" i="4"/>
  <c r="E141" i="1" l="1"/>
  <c r="E102" i="1"/>
  <c r="L131" i="11" l="1"/>
  <c r="E145" i="1"/>
  <c r="E132" i="1"/>
  <c r="E106" i="1"/>
  <c r="E119" i="1"/>
  <c r="C18" i="11"/>
  <c r="C17" i="11"/>
  <c r="C16" i="11"/>
  <c r="C14" i="11"/>
  <c r="C15" i="11"/>
  <c r="C10" i="11"/>
  <c r="C9" i="11"/>
  <c r="C7" i="11"/>
  <c r="E144" i="1" l="1"/>
  <c r="E131" i="1"/>
  <c r="E105" i="1"/>
  <c r="E85" i="1"/>
  <c r="E74" i="1"/>
  <c r="K131" i="11"/>
  <c r="K130" i="11"/>
  <c r="J131" i="11"/>
  <c r="J130" i="11"/>
  <c r="I131" i="11"/>
  <c r="I130" i="11"/>
  <c r="H131" i="11"/>
  <c r="H130" i="11"/>
  <c r="G131" i="11"/>
  <c r="G130" i="11"/>
  <c r="F131" i="11"/>
  <c r="F130" i="11"/>
  <c r="E131" i="11"/>
  <c r="E130" i="11"/>
  <c r="D131" i="11"/>
  <c r="D130" i="11"/>
  <c r="C131" i="11"/>
  <c r="C130" i="11"/>
  <c r="B131" i="11"/>
  <c r="B130" i="11"/>
  <c r="W3" i="11" l="1"/>
  <c r="W13" i="11"/>
  <c r="W11" i="11"/>
  <c r="W9" i="11"/>
  <c r="V4" i="11"/>
  <c r="W4" i="11" s="1"/>
  <c r="V3" i="11"/>
  <c r="W6" i="11" s="1"/>
  <c r="P6" i="11"/>
  <c r="M4" i="11"/>
  <c r="S3" i="11"/>
  <c r="S4" i="11" s="1"/>
  <c r="J13" i="11"/>
  <c r="J11" i="11"/>
  <c r="J5" i="11"/>
  <c r="J3" i="11"/>
  <c r="J18" i="11" l="1"/>
  <c r="G125" i="11" l="1"/>
  <c r="H125" i="11" s="1"/>
  <c r="G32" i="11"/>
  <c r="G33" i="11"/>
  <c r="G24" i="11"/>
  <c r="G23" i="11"/>
  <c r="G21" i="11"/>
  <c r="G20" i="11"/>
  <c r="G18" i="11"/>
  <c r="G17" i="11"/>
  <c r="G119" i="11" l="1"/>
  <c r="G118" i="11"/>
  <c r="G107" i="11"/>
  <c r="G106" i="11"/>
  <c r="G101" i="11"/>
  <c r="G100" i="11"/>
  <c r="G98" i="11"/>
  <c r="G97" i="11"/>
  <c r="G95" i="11"/>
  <c r="G94" i="11"/>
  <c r="G92" i="11"/>
  <c r="G91" i="11"/>
  <c r="G86" i="11"/>
  <c r="G85" i="11"/>
  <c r="G80" i="11"/>
  <c r="G79" i="11"/>
  <c r="G66" i="11"/>
  <c r="G65" i="11"/>
  <c r="G49" i="11"/>
  <c r="G48" i="11"/>
  <c r="C4" i="11"/>
  <c r="C3" i="11"/>
  <c r="E89" i="1"/>
  <c r="E136" i="1"/>
  <c r="J135" i="1" s="1"/>
  <c r="E135" i="1"/>
  <c r="E123" i="1"/>
  <c r="E122" i="1"/>
  <c r="E118" i="1"/>
  <c r="E117" i="1"/>
  <c r="E115" i="1"/>
  <c r="E110" i="1"/>
  <c r="E109" i="1"/>
  <c r="E94" i="1"/>
  <c r="B90" i="9"/>
  <c r="F87" i="4"/>
  <c r="H91" i="9"/>
  <c r="H90" i="9"/>
  <c r="H89" i="9"/>
  <c r="F93" i="4"/>
  <c r="F92" i="4"/>
  <c r="F91" i="4"/>
  <c r="F94" i="4" s="1"/>
  <c r="E104" i="1"/>
  <c r="K145" i="1" s="1"/>
  <c r="E95" i="1" l="1"/>
  <c r="J138" i="1" s="1"/>
  <c r="J137" i="1"/>
  <c r="J134" i="1"/>
  <c r="G138" i="1"/>
  <c r="G139" i="1"/>
  <c r="E137" i="1"/>
  <c r="E111" i="1"/>
  <c r="G113" i="1"/>
  <c r="G112" i="1"/>
  <c r="E124" i="1"/>
  <c r="G126" i="1"/>
  <c r="G125" i="1"/>
  <c r="H125" i="1" s="1"/>
  <c r="G123" i="11"/>
  <c r="H123" i="11" s="1"/>
  <c r="C5" i="11"/>
  <c r="J136" i="1" l="1"/>
  <c r="H138" i="1"/>
  <c r="E58" i="1"/>
  <c r="E57" i="1" s="1"/>
  <c r="E27" i="1"/>
  <c r="E41" i="1"/>
  <c r="E16" i="1"/>
  <c r="J87" i="9" l="1"/>
  <c r="B97" i="9" s="1"/>
  <c r="R25" i="9"/>
  <c r="C95" i="9" s="1"/>
  <c r="Q16" i="9"/>
  <c r="Q17" i="9"/>
  <c r="Q18" i="9"/>
  <c r="Q19" i="9"/>
  <c r="Q21" i="9"/>
  <c r="Q22" i="9"/>
  <c r="Q23" i="9"/>
  <c r="Q24" i="9"/>
  <c r="M24" i="9"/>
  <c r="O24" i="9" s="1"/>
  <c r="M23" i="9"/>
  <c r="O23" i="9" s="1"/>
  <c r="M22" i="9"/>
  <c r="O22" i="9" s="1"/>
  <c r="M21" i="9"/>
  <c r="O21" i="9" s="1"/>
  <c r="M20" i="9"/>
  <c r="L20" i="9"/>
  <c r="M19" i="9"/>
  <c r="L19" i="9"/>
  <c r="M18" i="9"/>
  <c r="O18" i="9" s="1"/>
  <c r="M17" i="9"/>
  <c r="O17" i="9" s="1"/>
  <c r="M16" i="9"/>
  <c r="L16" i="9"/>
  <c r="O16" i="9" s="1"/>
  <c r="M15" i="9"/>
  <c r="L15" i="9"/>
  <c r="O15" i="9" s="1"/>
  <c r="D96" i="9"/>
  <c r="Q10" i="9"/>
  <c r="Q9" i="9"/>
  <c r="Q8" i="9"/>
  <c r="Q7" i="9"/>
  <c r="Q6" i="9"/>
  <c r="Q5" i="9"/>
  <c r="H22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R11" i="9"/>
  <c r="E97" i="9" s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L11" i="9"/>
  <c r="O10" i="9"/>
  <c r="O9" i="9"/>
  <c r="O8" i="9"/>
  <c r="O7" i="9"/>
  <c r="O6" i="9"/>
  <c r="O5" i="9"/>
  <c r="E90" i="9"/>
  <c r="D90" i="9"/>
  <c r="C90" i="9"/>
  <c r="F90" i="9" s="1"/>
  <c r="F86" i="9"/>
  <c r="C86" i="9"/>
  <c r="F85" i="9"/>
  <c r="C85" i="9"/>
  <c r="F84" i="9"/>
  <c r="C84" i="9"/>
  <c r="F83" i="9"/>
  <c r="E83" i="9" s="1"/>
  <c r="C83" i="9"/>
  <c r="F82" i="9"/>
  <c r="C82" i="9"/>
  <c r="F81" i="9"/>
  <c r="C81" i="9"/>
  <c r="F80" i="9"/>
  <c r="C80" i="9"/>
  <c r="F79" i="9"/>
  <c r="C79" i="9"/>
  <c r="F78" i="9"/>
  <c r="E78" i="9" s="1"/>
  <c r="C78" i="9"/>
  <c r="F77" i="9"/>
  <c r="E77" i="9" s="1"/>
  <c r="C77" i="9"/>
  <c r="F76" i="9"/>
  <c r="C76" i="9"/>
  <c r="F75" i="9"/>
  <c r="C75" i="9"/>
  <c r="F74" i="9"/>
  <c r="C74" i="9"/>
  <c r="F73" i="9"/>
  <c r="E73" i="9" s="1"/>
  <c r="C73" i="9"/>
  <c r="F72" i="9"/>
  <c r="E72" i="9" s="1"/>
  <c r="C72" i="9"/>
  <c r="F71" i="9"/>
  <c r="C71" i="9"/>
  <c r="F70" i="9"/>
  <c r="C70" i="9"/>
  <c r="F69" i="9"/>
  <c r="C69" i="9"/>
  <c r="E69" i="9" s="1"/>
  <c r="F68" i="9"/>
  <c r="C68" i="9"/>
  <c r="E68" i="9" s="1"/>
  <c r="C67" i="9"/>
  <c r="B67" i="9"/>
  <c r="F67" i="9" s="1"/>
  <c r="F66" i="9"/>
  <c r="C66" i="9"/>
  <c r="F65" i="9"/>
  <c r="C65" i="9"/>
  <c r="F64" i="9"/>
  <c r="C64" i="9"/>
  <c r="F63" i="9"/>
  <c r="C63" i="9"/>
  <c r="E63" i="9" s="1"/>
  <c r="F62" i="9"/>
  <c r="C62" i="9"/>
  <c r="F61" i="9"/>
  <c r="C61" i="9"/>
  <c r="F60" i="9"/>
  <c r="C60" i="9"/>
  <c r="F59" i="9"/>
  <c r="C59" i="9"/>
  <c r="F58" i="9"/>
  <c r="C58" i="9"/>
  <c r="E58" i="9" s="1"/>
  <c r="F57" i="9"/>
  <c r="C57" i="9"/>
  <c r="F56" i="9"/>
  <c r="C56" i="9"/>
  <c r="F55" i="9"/>
  <c r="C55" i="9"/>
  <c r="F54" i="9"/>
  <c r="E54" i="9" s="1"/>
  <c r="C54" i="9"/>
  <c r="F53" i="9"/>
  <c r="C53" i="9"/>
  <c r="F52" i="9"/>
  <c r="C52" i="9"/>
  <c r="F51" i="9"/>
  <c r="C51" i="9"/>
  <c r="F50" i="9"/>
  <c r="C50" i="9"/>
  <c r="E50" i="9" s="1"/>
  <c r="F49" i="9"/>
  <c r="E49" i="9" s="1"/>
  <c r="C49" i="9"/>
  <c r="F48" i="9"/>
  <c r="E48" i="9" s="1"/>
  <c r="C48" i="9"/>
  <c r="F47" i="9"/>
  <c r="C47" i="9"/>
  <c r="E47" i="9" s="1"/>
  <c r="F46" i="9"/>
  <c r="C46" i="9"/>
  <c r="F45" i="9"/>
  <c r="C45" i="9"/>
  <c r="F44" i="9"/>
  <c r="E44" i="9" s="1"/>
  <c r="C44" i="9"/>
  <c r="F43" i="9"/>
  <c r="C43" i="9"/>
  <c r="F42" i="9"/>
  <c r="E42" i="9" s="1"/>
  <c r="C42" i="9"/>
  <c r="F41" i="9"/>
  <c r="C41" i="9"/>
  <c r="F40" i="9"/>
  <c r="E40" i="9" s="1"/>
  <c r="C40" i="9"/>
  <c r="F39" i="9"/>
  <c r="C39" i="9"/>
  <c r="F38" i="9"/>
  <c r="E38" i="9" s="1"/>
  <c r="C38" i="9"/>
  <c r="F37" i="9"/>
  <c r="E37" i="9" s="1"/>
  <c r="C37" i="9"/>
  <c r="F36" i="9"/>
  <c r="C36" i="9"/>
  <c r="F35" i="9"/>
  <c r="C35" i="9"/>
  <c r="F34" i="9"/>
  <c r="C34" i="9"/>
  <c r="F33" i="9"/>
  <c r="E33" i="9" s="1"/>
  <c r="C33" i="9"/>
  <c r="F32" i="9"/>
  <c r="E32" i="9" s="1"/>
  <c r="C32" i="9"/>
  <c r="F31" i="9"/>
  <c r="C31" i="9"/>
  <c r="F30" i="9"/>
  <c r="C30" i="9"/>
  <c r="F29" i="9"/>
  <c r="C29" i="9"/>
  <c r="F28" i="9"/>
  <c r="E28" i="9" s="1"/>
  <c r="C28" i="9"/>
  <c r="F27" i="9"/>
  <c r="C27" i="9"/>
  <c r="F26" i="9"/>
  <c r="C26" i="9"/>
  <c r="F25" i="9"/>
  <c r="E25" i="9" s="1"/>
  <c r="C25" i="9"/>
  <c r="F24" i="9"/>
  <c r="C24" i="9"/>
  <c r="E24" i="9" s="1"/>
  <c r="F23" i="9"/>
  <c r="C23" i="9"/>
  <c r="E23" i="9" s="1"/>
  <c r="F22" i="9"/>
  <c r="C22" i="9"/>
  <c r="E22" i="9" s="1"/>
  <c r="F21" i="9"/>
  <c r="C21" i="9"/>
  <c r="F20" i="9"/>
  <c r="C20" i="9"/>
  <c r="F19" i="9"/>
  <c r="C19" i="9"/>
  <c r="F18" i="9"/>
  <c r="C18" i="9"/>
  <c r="E18" i="9" s="1"/>
  <c r="F17" i="9"/>
  <c r="E17" i="9" s="1"/>
  <c r="C17" i="9"/>
  <c r="F16" i="9"/>
  <c r="E16" i="9" s="1"/>
  <c r="C16" i="9"/>
  <c r="F15" i="9"/>
  <c r="C15" i="9"/>
  <c r="F14" i="9"/>
  <c r="C14" i="9"/>
  <c r="F13" i="9"/>
  <c r="C13" i="9"/>
  <c r="F12" i="9"/>
  <c r="C12" i="9"/>
  <c r="F11" i="9"/>
  <c r="C11" i="9"/>
  <c r="F10" i="9"/>
  <c r="C10" i="9"/>
  <c r="F9" i="9"/>
  <c r="E9" i="9" s="1"/>
  <c r="C9" i="9"/>
  <c r="F8" i="9"/>
  <c r="C8" i="9"/>
  <c r="F7" i="9"/>
  <c r="C7" i="9"/>
  <c r="E7" i="9" s="1"/>
  <c r="F6" i="9"/>
  <c r="C6" i="9"/>
  <c r="C5" i="9"/>
  <c r="B5" i="9"/>
  <c r="B87" i="9" s="1"/>
  <c r="C87" i="4"/>
  <c r="Z6" i="8"/>
  <c r="Y6" i="8" s="1"/>
  <c r="Z7" i="8"/>
  <c r="Z8" i="8"/>
  <c r="Z9" i="8"/>
  <c r="Y9" i="8" s="1"/>
  <c r="Z10" i="8"/>
  <c r="Z5" i="8"/>
  <c r="Y5" i="8" s="1"/>
  <c r="T6" i="8"/>
  <c r="S6" i="8" s="1"/>
  <c r="T5" i="8"/>
  <c r="S5" i="8" s="1"/>
  <c r="N6" i="8"/>
  <c r="N7" i="8"/>
  <c r="M7" i="8" s="1"/>
  <c r="N8" i="8"/>
  <c r="N9" i="8"/>
  <c r="N10" i="8"/>
  <c r="N11" i="8"/>
  <c r="N12" i="8"/>
  <c r="N13" i="8"/>
  <c r="N14" i="8"/>
  <c r="N5" i="8"/>
  <c r="M5" i="8" s="1"/>
  <c r="G6" i="8"/>
  <c r="G7" i="8"/>
  <c r="G8" i="8"/>
  <c r="G9" i="8"/>
  <c r="F9" i="8" s="1"/>
  <c r="G10" i="8"/>
  <c r="G11" i="8"/>
  <c r="G12" i="8"/>
  <c r="G13" i="8"/>
  <c r="G14" i="8"/>
  <c r="F14" i="8" s="1"/>
  <c r="G15" i="8"/>
  <c r="F15" i="8" s="1"/>
  <c r="G16" i="8"/>
  <c r="G17" i="8"/>
  <c r="G18" i="8"/>
  <c r="G19" i="8"/>
  <c r="G20" i="8"/>
  <c r="G21" i="8"/>
  <c r="F21" i="8" s="1"/>
  <c r="G22" i="8"/>
  <c r="G23" i="8"/>
  <c r="G24" i="8"/>
  <c r="G25" i="8"/>
  <c r="G26" i="8"/>
  <c r="F26" i="8" s="1"/>
  <c r="G27" i="8"/>
  <c r="F27" i="8" s="1"/>
  <c r="G28" i="8"/>
  <c r="G29" i="8"/>
  <c r="G30" i="8"/>
  <c r="G31" i="8"/>
  <c r="G32" i="8"/>
  <c r="G33" i="8"/>
  <c r="F33" i="8" s="1"/>
  <c r="G34" i="8"/>
  <c r="G35" i="8"/>
  <c r="G36" i="8"/>
  <c r="G37" i="8"/>
  <c r="G38" i="8"/>
  <c r="F38" i="8" s="1"/>
  <c r="G39" i="8"/>
  <c r="F39" i="8" s="1"/>
  <c r="G40" i="8"/>
  <c r="G41" i="8"/>
  <c r="G42" i="8"/>
  <c r="G43" i="8"/>
  <c r="G44" i="8"/>
  <c r="G45" i="8"/>
  <c r="F45" i="8" s="1"/>
  <c r="G46" i="8"/>
  <c r="G47" i="8"/>
  <c r="G48" i="8"/>
  <c r="G49" i="8"/>
  <c r="G50" i="8"/>
  <c r="F50" i="8" s="1"/>
  <c r="G51" i="8"/>
  <c r="F51" i="8" s="1"/>
  <c r="G52" i="8"/>
  <c r="G53" i="8"/>
  <c r="G54" i="8"/>
  <c r="G55" i="8"/>
  <c r="G56" i="8"/>
  <c r="G57" i="8"/>
  <c r="F57" i="8" s="1"/>
  <c r="G58" i="8"/>
  <c r="G59" i="8"/>
  <c r="G60" i="8"/>
  <c r="G61" i="8"/>
  <c r="G62" i="8"/>
  <c r="F62" i="8" s="1"/>
  <c r="G63" i="8"/>
  <c r="F63" i="8" s="1"/>
  <c r="G64" i="8"/>
  <c r="G65" i="8"/>
  <c r="G66" i="8"/>
  <c r="G67" i="8"/>
  <c r="G68" i="8"/>
  <c r="G69" i="8"/>
  <c r="F69" i="8" s="1"/>
  <c r="G70" i="8"/>
  <c r="G71" i="8"/>
  <c r="G72" i="8"/>
  <c r="G73" i="8"/>
  <c r="G74" i="8"/>
  <c r="F74" i="8" s="1"/>
  <c r="G75" i="8"/>
  <c r="F75" i="8" s="1"/>
  <c r="G76" i="8"/>
  <c r="G77" i="8"/>
  <c r="F77" i="8" s="1"/>
  <c r="G78" i="8"/>
  <c r="G79" i="8"/>
  <c r="G80" i="8"/>
  <c r="G81" i="8"/>
  <c r="F81" i="8" s="1"/>
  <c r="G82" i="8"/>
  <c r="G83" i="8"/>
  <c r="G84" i="8"/>
  <c r="G85" i="8"/>
  <c r="G86" i="8"/>
  <c r="F86" i="8" s="1"/>
  <c r="G5" i="8"/>
  <c r="F5" i="8" s="1"/>
  <c r="Y7" i="8"/>
  <c r="Y8" i="8"/>
  <c r="Y10" i="8"/>
  <c r="M6" i="8"/>
  <c r="M8" i="8"/>
  <c r="M9" i="8"/>
  <c r="M10" i="8"/>
  <c r="M11" i="8"/>
  <c r="M12" i="8"/>
  <c r="M13" i="8"/>
  <c r="M14" i="8"/>
  <c r="F6" i="8"/>
  <c r="F7" i="8"/>
  <c r="F8" i="8"/>
  <c r="F10" i="8"/>
  <c r="F11" i="8"/>
  <c r="F12" i="8"/>
  <c r="F13" i="8"/>
  <c r="F16" i="8"/>
  <c r="F17" i="8"/>
  <c r="F18" i="8"/>
  <c r="F19" i="8"/>
  <c r="F20" i="8"/>
  <c r="F22" i="8"/>
  <c r="F23" i="8"/>
  <c r="F24" i="8"/>
  <c r="F25" i="8"/>
  <c r="F28" i="8"/>
  <c r="F29" i="8"/>
  <c r="F30" i="8"/>
  <c r="F31" i="8"/>
  <c r="F32" i="8"/>
  <c r="F34" i="8"/>
  <c r="F35" i="8"/>
  <c r="F36" i="8"/>
  <c r="F37" i="8"/>
  <c r="F40" i="8"/>
  <c r="F41" i="8"/>
  <c r="F42" i="8"/>
  <c r="F43" i="8"/>
  <c r="F44" i="8"/>
  <c r="F46" i="8"/>
  <c r="F47" i="8"/>
  <c r="F48" i="8"/>
  <c r="F49" i="8"/>
  <c r="F52" i="8"/>
  <c r="F53" i="8"/>
  <c r="F54" i="8"/>
  <c r="F55" i="8"/>
  <c r="F56" i="8"/>
  <c r="F58" i="8"/>
  <c r="F59" i="8"/>
  <c r="F60" i="8"/>
  <c r="F61" i="8"/>
  <c r="F64" i="8"/>
  <c r="F65" i="8"/>
  <c r="F66" i="8"/>
  <c r="F67" i="8"/>
  <c r="F68" i="8"/>
  <c r="F70" i="8"/>
  <c r="F71" i="8"/>
  <c r="F72" i="8"/>
  <c r="F73" i="8"/>
  <c r="F76" i="8"/>
  <c r="F78" i="8"/>
  <c r="F79" i="8"/>
  <c r="F80" i="8"/>
  <c r="F82" i="8"/>
  <c r="F83" i="8"/>
  <c r="F84" i="8"/>
  <c r="F85" i="8"/>
  <c r="C5" i="4"/>
  <c r="V11" i="8"/>
  <c r="P7" i="8"/>
  <c r="W6" i="8"/>
  <c r="W7" i="8"/>
  <c r="W8" i="8"/>
  <c r="W9" i="8"/>
  <c r="W10" i="8"/>
  <c r="W5" i="8"/>
  <c r="Q6" i="8"/>
  <c r="Q5" i="8"/>
  <c r="K6" i="8"/>
  <c r="K7" i="8"/>
  <c r="K8" i="8"/>
  <c r="K9" i="8"/>
  <c r="K10" i="8"/>
  <c r="K11" i="8"/>
  <c r="K12" i="8"/>
  <c r="K13" i="8"/>
  <c r="K14" i="8"/>
  <c r="K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5" i="8"/>
  <c r="C67" i="8"/>
  <c r="J10" i="8"/>
  <c r="J9" i="8"/>
  <c r="J6" i="8"/>
  <c r="J5" i="8"/>
  <c r="C5" i="8"/>
  <c r="C87" i="8" s="1"/>
  <c r="C67" i="4"/>
  <c r="E78" i="1"/>
  <c r="E20" i="1"/>
  <c r="E77" i="1"/>
  <c r="E8" i="1"/>
  <c r="E44" i="1"/>
  <c r="E31" i="1"/>
  <c r="E30" i="1"/>
  <c r="E19" i="1"/>
  <c r="E9" i="1"/>
  <c r="E22" i="1"/>
  <c r="E27" i="9" l="1"/>
  <c r="E39" i="9"/>
  <c r="O20" i="9"/>
  <c r="E34" i="9"/>
  <c r="E56" i="9"/>
  <c r="E62" i="9"/>
  <c r="E85" i="9"/>
  <c r="E6" i="9"/>
  <c r="E57" i="9"/>
  <c r="E80" i="9"/>
  <c r="E86" i="9"/>
  <c r="E46" i="9"/>
  <c r="E75" i="9"/>
  <c r="E13" i="9"/>
  <c r="E52" i="9"/>
  <c r="E64" i="9"/>
  <c r="E81" i="9"/>
  <c r="Q15" i="9"/>
  <c r="E30" i="9"/>
  <c r="E36" i="9"/>
  <c r="E70" i="9"/>
  <c r="E76" i="9"/>
  <c r="E8" i="9"/>
  <c r="E14" i="9"/>
  <c r="E31" i="9"/>
  <c r="E12" i="9"/>
  <c r="E15" i="9"/>
  <c r="E60" i="9"/>
  <c r="E66" i="9"/>
  <c r="E20" i="9"/>
  <c r="E26" i="9"/>
  <c r="L25" i="9"/>
  <c r="E10" i="9"/>
  <c r="E55" i="9"/>
  <c r="E84" i="9"/>
  <c r="Q20" i="9"/>
  <c r="O19" i="9"/>
  <c r="E53" i="9"/>
  <c r="E82" i="9"/>
  <c r="E29" i="9"/>
  <c r="E11" i="9"/>
  <c r="E35" i="9"/>
  <c r="E59" i="9"/>
  <c r="E21" i="9"/>
  <c r="E45" i="9"/>
  <c r="E74" i="9"/>
  <c r="E79" i="9"/>
  <c r="E65" i="9"/>
  <c r="E41" i="9"/>
  <c r="E51" i="9"/>
  <c r="E61" i="9"/>
  <c r="E71" i="9"/>
  <c r="E67" i="9"/>
  <c r="E19" i="9"/>
  <c r="E43" i="9"/>
  <c r="O11" i="9"/>
  <c r="H67" i="9"/>
  <c r="F5" i="9"/>
  <c r="E5" i="9" s="1"/>
  <c r="H5" i="9"/>
  <c r="H87" i="9" s="1"/>
  <c r="I5" i="9"/>
  <c r="I87" i="9" s="1"/>
  <c r="I67" i="9"/>
  <c r="Q11" i="9"/>
  <c r="S7" i="8"/>
  <c r="Y11" i="8"/>
  <c r="J15" i="8"/>
  <c r="E66" i="1"/>
  <c r="E63" i="1"/>
  <c r="E65" i="1"/>
  <c r="E62" i="1"/>
  <c r="E50" i="1"/>
  <c r="E47" i="1"/>
  <c r="E49" i="1"/>
  <c r="E46" i="1"/>
  <c r="E36" i="1"/>
  <c r="E33" i="1"/>
  <c r="E32" i="1"/>
  <c r="E35" i="1"/>
  <c r="O25" i="9" l="1"/>
  <c r="E87" i="9"/>
  <c r="F92" i="9"/>
  <c r="B92" i="9"/>
  <c r="F91" i="9"/>
  <c r="M15" i="8"/>
  <c r="F87" i="8"/>
  <c r="E83" i="1"/>
  <c r="E82" i="1"/>
  <c r="E79" i="1"/>
  <c r="E61" i="1"/>
  <c r="E60" i="1"/>
  <c r="E53" i="1"/>
  <c r="E52" i="1"/>
  <c r="E45" i="1"/>
  <c r="E39" i="1"/>
  <c r="E38" i="1"/>
  <c r="E24" i="1"/>
  <c r="E25" i="1" s="1"/>
  <c r="E11" i="1"/>
  <c r="E21" i="1"/>
  <c r="E13" i="1"/>
  <c r="E10" i="1"/>
  <c r="I6" i="4"/>
  <c r="J6" i="4" s="1"/>
  <c r="I7" i="4"/>
  <c r="J7" i="4" s="1"/>
  <c r="I8" i="4"/>
  <c r="J8" i="4" s="1"/>
  <c r="I9" i="4"/>
  <c r="J9" i="4" s="1"/>
  <c r="I10" i="4"/>
  <c r="J10" i="4" s="1"/>
  <c r="I11" i="4"/>
  <c r="J11" i="4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/>
  <c r="I28" i="4"/>
  <c r="J28" i="4" s="1"/>
  <c r="I29" i="4"/>
  <c r="J29" i="4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/>
  <c r="I36" i="4"/>
  <c r="J36" i="4" s="1"/>
  <c r="I37" i="4"/>
  <c r="J37" i="4" s="1"/>
  <c r="I38" i="4"/>
  <c r="J38" i="4" s="1"/>
  <c r="I39" i="4"/>
  <c r="J39" i="4" s="1"/>
  <c r="I40" i="4"/>
  <c r="J40" i="4" s="1"/>
  <c r="I41" i="4"/>
  <c r="J41" i="4" s="1"/>
  <c r="I42" i="4"/>
  <c r="J42" i="4"/>
  <c r="I43" i="4"/>
  <c r="J43" i="4" s="1"/>
  <c r="I44" i="4"/>
  <c r="J44" i="4" s="1"/>
  <c r="I45" i="4"/>
  <c r="J45" i="4" s="1"/>
  <c r="I46" i="4"/>
  <c r="J46" i="4" s="1"/>
  <c r="I47" i="4"/>
  <c r="J47" i="4"/>
  <c r="I48" i="4"/>
  <c r="J48" i="4" s="1"/>
  <c r="I49" i="4"/>
  <c r="J49" i="4" s="1"/>
  <c r="I50" i="4"/>
  <c r="J50" i="4" s="1"/>
  <c r="I51" i="4"/>
  <c r="J51" i="4"/>
  <c r="I52" i="4"/>
  <c r="J52" i="4" s="1"/>
  <c r="I53" i="4"/>
  <c r="J53" i="4"/>
  <c r="I54" i="4"/>
  <c r="J54" i="4"/>
  <c r="I55" i="4"/>
  <c r="J55" i="4" s="1"/>
  <c r="I56" i="4"/>
  <c r="J56" i="4"/>
  <c r="I57" i="4"/>
  <c r="J57" i="4"/>
  <c r="I58" i="4"/>
  <c r="J58" i="4" s="1"/>
  <c r="I59" i="4"/>
  <c r="J59" i="4"/>
  <c r="I60" i="4"/>
  <c r="J60" i="4"/>
  <c r="I61" i="4"/>
  <c r="J61" i="4" s="1"/>
  <c r="I62" i="4"/>
  <c r="J62" i="4"/>
  <c r="I63" i="4"/>
  <c r="J63" i="4"/>
  <c r="I64" i="4"/>
  <c r="J64" i="4" s="1"/>
  <c r="I65" i="4"/>
  <c r="J65" i="4"/>
  <c r="I66" i="4"/>
  <c r="J66" i="4"/>
  <c r="I67" i="4"/>
  <c r="J67" i="4" s="1"/>
  <c r="I68" i="4"/>
  <c r="J68" i="4" s="1"/>
  <c r="I69" i="4"/>
  <c r="J69" i="4"/>
  <c r="I70" i="4"/>
  <c r="J70" i="4" s="1"/>
  <c r="I71" i="4"/>
  <c r="J71" i="4"/>
  <c r="I72" i="4"/>
  <c r="J72" i="4"/>
  <c r="I73" i="4"/>
  <c r="J73" i="4" s="1"/>
  <c r="I74" i="4"/>
  <c r="J74" i="4" s="1"/>
  <c r="I75" i="4"/>
  <c r="J75" i="4" s="1"/>
  <c r="I76" i="4"/>
  <c r="J76" i="4" s="1"/>
  <c r="I77" i="4"/>
  <c r="J77" i="4" s="1"/>
  <c r="I78" i="4"/>
  <c r="J78" i="4"/>
  <c r="I79" i="4"/>
  <c r="J79" i="4" s="1"/>
  <c r="I80" i="4"/>
  <c r="J80" i="4"/>
  <c r="I81" i="4"/>
  <c r="J81" i="4" s="1"/>
  <c r="I82" i="4"/>
  <c r="J82" i="4" s="1"/>
  <c r="I83" i="4"/>
  <c r="J83" i="4"/>
  <c r="I84" i="4"/>
  <c r="J84" i="4" s="1"/>
  <c r="I85" i="4"/>
  <c r="J85" i="4" s="1"/>
  <c r="I86" i="4"/>
  <c r="J86" i="4" s="1"/>
  <c r="I5" i="4"/>
  <c r="Y11" i="4"/>
  <c r="S7" i="4"/>
  <c r="E56" i="1"/>
  <c r="A89" i="8" l="1"/>
  <c r="AB10" i="4" l="1"/>
  <c r="F80" i="4"/>
  <c r="AB9" i="4"/>
  <c r="AB8" i="4"/>
  <c r="V6" i="4"/>
  <c r="N13" i="4"/>
  <c r="P13" i="4" s="1"/>
  <c r="N14" i="4"/>
  <c r="P14" i="4" s="1"/>
  <c r="AB7" i="4"/>
  <c r="AB6" i="4"/>
  <c r="AB5" i="4"/>
  <c r="V5" i="4"/>
  <c r="F78" i="4"/>
  <c r="F79" i="4"/>
  <c r="F81" i="4"/>
  <c r="F82" i="4"/>
  <c r="F83" i="4"/>
  <c r="F84" i="4"/>
  <c r="F85" i="4"/>
  <c r="F86" i="4"/>
  <c r="F74" i="4"/>
  <c r="F75" i="4"/>
  <c r="F76" i="4"/>
  <c r="F77" i="4"/>
  <c r="F67" i="4"/>
  <c r="F68" i="4"/>
  <c r="F69" i="4"/>
  <c r="F70" i="4"/>
  <c r="F71" i="4"/>
  <c r="F72" i="4"/>
  <c r="F73" i="4"/>
  <c r="F64" i="4"/>
  <c r="F65" i="4"/>
  <c r="F66" i="4"/>
  <c r="F62" i="4"/>
  <c r="F63" i="4"/>
  <c r="F58" i="4"/>
  <c r="F59" i="4"/>
  <c r="F60" i="4"/>
  <c r="F61" i="4"/>
  <c r="N12" i="4"/>
  <c r="P12" i="4" s="1"/>
  <c r="N11" i="4"/>
  <c r="P11" i="4" s="1"/>
  <c r="N9" i="4"/>
  <c r="N10" i="4"/>
  <c r="M10" i="4"/>
  <c r="M9" i="4"/>
  <c r="N8" i="4"/>
  <c r="P8" i="4" s="1"/>
  <c r="N7" i="4"/>
  <c r="P7" i="4" s="1"/>
  <c r="M6" i="4"/>
  <c r="N6" i="4"/>
  <c r="M5" i="4"/>
  <c r="N5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22" i="4"/>
  <c r="F23" i="4"/>
  <c r="F24" i="4"/>
  <c r="F25" i="4"/>
  <c r="F26" i="4"/>
  <c r="F27" i="4"/>
  <c r="F28" i="4"/>
  <c r="F29" i="4"/>
  <c r="F30" i="4"/>
  <c r="F31" i="4"/>
  <c r="F21" i="4"/>
  <c r="F20" i="4"/>
  <c r="F19" i="4"/>
  <c r="F17" i="4"/>
  <c r="F18" i="4"/>
  <c r="F16" i="4"/>
  <c r="F15" i="4"/>
  <c r="F12" i="4"/>
  <c r="F13" i="4"/>
  <c r="F14" i="4"/>
  <c r="F11" i="4"/>
  <c r="F10" i="4"/>
  <c r="F9" i="4"/>
  <c r="F8" i="4"/>
  <c r="F7" i="4"/>
  <c r="F6" i="4"/>
  <c r="J5" i="4" l="1"/>
  <c r="J87" i="4" s="1"/>
  <c r="P9" i="4"/>
  <c r="P10" i="4"/>
  <c r="AB11" i="4"/>
  <c r="V7" i="4"/>
  <c r="F5" i="4"/>
  <c r="P5" i="4"/>
  <c r="M15" i="4"/>
  <c r="P6" i="4"/>
  <c r="P15" i="4" l="1"/>
</calcChain>
</file>

<file path=xl/sharedStrings.xml><?xml version="1.0" encoding="utf-8"?>
<sst xmlns="http://schemas.openxmlformats.org/spreadsheetml/2006/main" count="304" uniqueCount="114">
  <si>
    <t>Устройство бетонной подготовки</t>
  </si>
  <si>
    <t>м3</t>
  </si>
  <si>
    <t>Бетон В7.5</t>
  </si>
  <si>
    <t>Бетон В25 F150 W6</t>
  </si>
  <si>
    <t>тн</t>
  </si>
  <si>
    <t>шт.</t>
  </si>
  <si>
    <t>-</t>
  </si>
  <si>
    <t>Ед.изм</t>
  </si>
  <si>
    <t>Арматура Ø14 А500С</t>
  </si>
  <si>
    <t>Ростверк РМл-1</t>
  </si>
  <si>
    <t>Ростверк РМл-2</t>
  </si>
  <si>
    <t>Ростверк РМл-3</t>
  </si>
  <si>
    <t>Ростверк РМл-4</t>
  </si>
  <si>
    <t>№
п/п</t>
  </si>
  <si>
    <t>Наименование работ</t>
  </si>
  <si>
    <t>Объем</t>
  </si>
  <si>
    <t>Примечание</t>
  </si>
  <si>
    <t>Устройство монолитного железобетонного отдельно стоящего плитного ростверка</t>
  </si>
  <si>
    <t>м2</t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</si>
  <si>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Рм-1-89 шт. </t>
    </r>
    <r>
      <rPr>
        <sz val="12"/>
        <color theme="1"/>
        <rFont val="Times New Roman"/>
        <family val="1"/>
        <charset val="204"/>
      </rPr>
      <t xml:space="preserve">
(л.5-л.6 предварительная выдача от 24.10.25)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</si>
  <si>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Рм-2-79 шт. </t>
    </r>
    <r>
      <rPr>
        <sz val="12"/>
        <color theme="1"/>
        <rFont val="Times New Roman"/>
        <family val="1"/>
        <charset val="204"/>
      </rPr>
      <t xml:space="preserve">
(л.7-л.8 предварительная выдача от 24.10.25)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</si>
  <si>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Рм-3-11 шт. </t>
    </r>
    <r>
      <rPr>
        <sz val="12"/>
        <color theme="1"/>
        <rFont val="Times New Roman"/>
        <family val="1"/>
        <charset val="204"/>
      </rPr>
      <t xml:space="preserve">
(л.9-л.10 предварительная выдача от 24.10.25)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</si>
  <si>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Рм-4-1 шт. </t>
    </r>
    <r>
      <rPr>
        <sz val="12"/>
        <color theme="1"/>
        <rFont val="Times New Roman"/>
        <family val="1"/>
        <charset val="204"/>
      </rPr>
      <t xml:space="preserve">
(л.11-л.14 предварительная выдача от 24.10.25)</t>
    </r>
  </si>
  <si>
    <t>Устройство монолитного железобетонного ленточного ростверка</t>
  </si>
  <si>
    <t>Арматура Ø10 А500С (выпуска из ростверка)</t>
  </si>
  <si>
    <t xml:space="preserve">Выпуска из ростверка:
Деталь П1 Ø10 А500С (1,922 кг/шт), L=3,115м </t>
  </si>
  <si>
    <t>м.п</t>
  </si>
  <si>
    <t xml:space="preserve">Каркас Кр9 (5,346 кг/шт) </t>
  </si>
  <si>
    <t xml:space="preserve">Изделие закладное МН2.7 (2,10 кг/шт) </t>
  </si>
  <si>
    <t xml:space="preserve">Изделие закладное МН2.15 (1,38 кг/шт) </t>
  </si>
  <si>
    <t>Объект образования (общеобразовательная школа на 1100 мест) по ул. Спортивная в Ленинском районе г.Новосибирска</t>
  </si>
  <si>
    <t>Каркас Кр8</t>
  </si>
  <si>
    <t>Каркас Кр9</t>
  </si>
  <si>
    <t>Каркас Кр10</t>
  </si>
  <si>
    <t>РЛм1</t>
  </si>
  <si>
    <t>РЛм2</t>
  </si>
  <si>
    <t>РЛм3</t>
  </si>
  <si>
    <t>РЛм4</t>
  </si>
  <si>
    <t>+</t>
  </si>
  <si>
    <t>2. 10 А500С 790мм</t>
  </si>
  <si>
    <t>3. 10А500С 540мм</t>
  </si>
  <si>
    <t>4. 10А500С 440мм</t>
  </si>
  <si>
    <t>1. 16 А500С</t>
  </si>
  <si>
    <t>Монтаж и демонтаж опалубки</t>
  </si>
  <si>
    <t>Вертикальная гидроизоляция ростверков</t>
  </si>
  <si>
    <t>Каркас Кр1 (6,784 кг/шт) 
л.6 п.3 Контактная точечная сварка</t>
  </si>
  <si>
    <t xml:space="preserve"> Ø12 А500С - 2,415 тн </t>
  </si>
  <si>
    <t xml:space="preserve"> Ø14 А500С - 6,077 тн </t>
  </si>
  <si>
    <t>Обмазка битумной мастикой за 2 раза
Праймер битумный ТехноНиколь №01 (расход = 0,25 л/м2)
Мастика гидроизоляционная  ТехноНиколь №24 (расход = 2,4 кг/м2)</t>
  </si>
  <si>
    <t xml:space="preserve"> Ø12 А500С - 2,144 тн </t>
  </si>
  <si>
    <t>Каркас Кр1 (6,784 кг/шт)
л.6 п.3 Контактная точечная сварка</t>
  </si>
  <si>
    <t xml:space="preserve"> Ø12 А500С - 0,149 тн </t>
  </si>
  <si>
    <t>Каркас Кр2 (8,472 кг/шт) 
л.6 п.3 Контактная точечная сварка</t>
  </si>
  <si>
    <t xml:space="preserve"> Ø12 А500С - 0,186 тн </t>
  </si>
  <si>
    <t>Сетка С3 (42,824 кг/шт) 
л.6 п.3 Контактная точечная сварка</t>
  </si>
  <si>
    <t xml:space="preserve"> Ø14 А500С - 0,942 тн </t>
  </si>
  <si>
    <t>Каркас Кр3 (10,123 кг/шт) 
л.6 п.3 Контактная точечная сварка</t>
  </si>
  <si>
    <t xml:space="preserve"> Ø12 А500С - 0,061 тн </t>
  </si>
  <si>
    <t>Каркас Кр4 (14,030 кг/шт)
л.6 п.3 Контактная точечная сварка</t>
  </si>
  <si>
    <t xml:space="preserve"> Ø12 А500С - 0,028 тн </t>
  </si>
  <si>
    <t>Сетка С4 (106,666  кг/шт)
л.6 п.3 Контактная точечная сварка</t>
  </si>
  <si>
    <t xml:space="preserve"> Ø14 А500С - 0,213 тн </t>
  </si>
  <si>
    <t>Каркас Кр5 (13,471 кг/шт) 
л.6 п.3 Контактная точечная сварка</t>
  </si>
  <si>
    <t xml:space="preserve"> Ø12 А500С - 0,121 тн </t>
  </si>
  <si>
    <t>Каркас Кр6 (19,660 кг/шт)
л.6 п.3 Контактная точечная сварка</t>
  </si>
  <si>
    <t xml:space="preserve"> Ø12 А500С - 0,039 тн </t>
  </si>
  <si>
    <t>Каркас Кр7 (7,854 кг/шт) 
л.6 п.3 Контактная точечная сварка</t>
  </si>
  <si>
    <t xml:space="preserve"> Ø14 А500С - 1,026 тн </t>
  </si>
  <si>
    <t>Арматура Ø10 А500С, L=440мм - 3400шт.</t>
  </si>
  <si>
    <t>Арматура Ø16 А500С - 3,171 тн</t>
  </si>
  <si>
    <t>Арматура Ø16 А500С - 1,057 тн</t>
  </si>
  <si>
    <t>Арматура Ø16 А500С - 0,934 тн</t>
  </si>
  <si>
    <t>Арматура Ø10 А500С, L=790мм - 500шт.</t>
  </si>
  <si>
    <t>Арматура Ø16 А500С - 504 мп.</t>
  </si>
  <si>
    <t>Арматура Ø16 А500С - 0,137 тн</t>
  </si>
  <si>
    <t>Арматура Ø10 А500С - 0,068 тн</t>
  </si>
  <si>
    <t>Арматура Ø10 А500С, L=540мм - 88шт.</t>
  </si>
  <si>
    <t>Арматура Ø16 А500С - 84 мп.</t>
  </si>
  <si>
    <t>Арматура Ø16 А500С - 0,189 тн</t>
  </si>
  <si>
    <t>Арматура Ø10 А500С - 0,094 тн</t>
  </si>
  <si>
    <t>Арматура Ø10 А500С, L=440мм - 156шт.</t>
  </si>
  <si>
    <t>Рм1</t>
  </si>
  <si>
    <t>Рм2</t>
  </si>
  <si>
    <t>Рм3</t>
  </si>
  <si>
    <t>Рм4</t>
  </si>
  <si>
    <t>Рм5</t>
  </si>
  <si>
    <t>Рм6</t>
  </si>
  <si>
    <t>Рлм-1</t>
  </si>
  <si>
    <t>Рлм-2</t>
  </si>
  <si>
    <t>Рлм-3</t>
  </si>
  <si>
    <t>Рлм-4</t>
  </si>
  <si>
    <t>Арматура Ø10 А500С - 0,734 тн</t>
  </si>
  <si>
    <t>*Расход материалов принять согласно нормам ГЭСН (кроме указанных)</t>
  </si>
  <si>
    <t>Арматура Ø16 А500С - 2721 мп.</t>
  </si>
  <si>
    <t>Арматура Ø16 А500С - 187 мп.</t>
  </si>
  <si>
    <r>
      <t xml:space="preserve">Устройство монолитных железобетонных ростверков 
РЛм-1 -334,96 пог.м
</t>
    </r>
    <r>
      <rPr>
        <sz val="12"/>
        <color theme="1"/>
        <rFont val="Times New Roman"/>
        <family val="1"/>
        <charset val="204"/>
      </rPr>
      <t>(л.3 предварительная выдача от 26.11.25)</t>
    </r>
  </si>
  <si>
    <t xml:space="preserve">Каркас Кр8 (4,726 кг/шт) </t>
  </si>
  <si>
    <t>Арматура Ø10 А500С - 1,578 тн</t>
  </si>
  <si>
    <t xml:space="preserve">Каркас Кр10 (1,925 кг/шт) </t>
  </si>
  <si>
    <t>Арматура Ø8 А500С - 0,627 тн</t>
  </si>
  <si>
    <t>Арматура Ø10 А500С - 0,464 тн</t>
  </si>
  <si>
    <r>
      <t xml:space="preserve">Устройство монолитного  железобетонного ростверка
РЛм-2 -49,3 пог.м
</t>
    </r>
    <r>
      <rPr>
        <sz val="12"/>
        <color theme="1"/>
        <rFont val="Times New Roman"/>
        <family val="1"/>
        <charset val="204"/>
      </rPr>
      <t>(л.3 предварительная выдача от 26.11.25)</t>
    </r>
  </si>
  <si>
    <r>
      <t xml:space="preserve">Устройство монолитного  железобетонного ростверка
РЛм-3 -8,7 пог.м
</t>
    </r>
    <r>
      <rPr>
        <sz val="12"/>
        <color theme="1"/>
        <rFont val="Times New Roman"/>
        <family val="1"/>
        <charset val="204"/>
      </rPr>
      <t>(л.3 предварительная выдача от 26.11.25)</t>
    </r>
  </si>
  <si>
    <r>
      <t xml:space="preserve">Устройство монолитного  железобетонного ростверка
РЛм-4 -15 пог.м
</t>
    </r>
    <r>
      <rPr>
        <sz val="12"/>
        <color theme="1"/>
        <rFont val="Times New Roman"/>
        <family val="1"/>
        <charset val="204"/>
      </rPr>
      <t>(л.3 предварительная выдача от 26.11.25)</t>
    </r>
  </si>
  <si>
    <t>Сетка С2 (41,725 кг/шт) 
л.6 п.3 Контактная точечная сварка</t>
  </si>
  <si>
    <t xml:space="preserve"> Ø14 А500С - 6,593 тн </t>
  </si>
  <si>
    <t xml:space="preserve">Выпуска из ростверка:
Деталь П1 Ø10 А500С (1,937 кг/шт), L=3,140м </t>
  </si>
  <si>
    <r>
      <t xml:space="preserve">Устройство монолитного железобетонного ростверка Рм-5-1 шт. 
</t>
    </r>
    <r>
      <rPr>
        <sz val="12"/>
        <color theme="1"/>
        <rFont val="Times New Roman"/>
        <family val="1"/>
        <charset val="204"/>
      </rPr>
      <t>(л.15-л.17 (предварительная выдача от 24.10.25), л.18 предварительная выдача от 25.11.25))</t>
    </r>
  </si>
  <si>
    <r>
      <rPr>
        <b/>
        <sz val="12"/>
        <color theme="1"/>
        <rFont val="Times New Roman"/>
        <family val="1"/>
        <charset val="204"/>
      </rPr>
      <t xml:space="preserve">Устройство монолитного железобетонного ростверка Рм-6-12 шт. </t>
    </r>
    <r>
      <rPr>
        <sz val="12"/>
        <color theme="1"/>
        <rFont val="Times New Roman"/>
        <family val="1"/>
        <charset val="204"/>
      </rPr>
      <t xml:space="preserve">
(л.19-л.20 предварительная выдача от 31.11.25)</t>
    </r>
  </si>
  <si>
    <t xml:space="preserve"> Ø12 А500С - 0,377 тн </t>
  </si>
  <si>
    <t>Сетка С5 (42,764 кг/шт) 
л.6 п.3 Контактная точечная сварка</t>
  </si>
  <si>
    <t>Ведомость объёмов работ № 3 от 01.12.2025г</t>
  </si>
  <si>
    <t>Рабочая документация шифр 7019-КЖ.0 (предварительная выдача)</t>
  </si>
  <si>
    <t>Сетка С1 (34,139 кг/шт)
л.6 п.3 Контактная точечная сварка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</si>
</sst>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 quotePrefix="1"/>
    <xf numFmtId="0" fontId="4" fillId="0" borderId="1" xfId="0" applyFont="1" applyBorder="1" applyAlignment="1">
      <alignment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/>
    <xf numFmtId="166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wrapText="1"/>
    </xf>
    <xf numFmtId="2" fontId="4" fillId="0" borderId="0" xfId="0" applyNumberFormat="1" applyFont="1" applyFill="1"/>
    <xf numFmtId="164" fontId="4" fillId="0" borderId="0" xfId="0" applyNumberFormat="1" applyFont="1" applyFill="1"/>
    <xf numFmtId="0" fontId="1" fillId="0" borderId="0" xfId="0" applyFont="1"/>
    <xf numFmtId="0" fontId="2" fillId="3" borderId="0" xfId="0" applyFont="1" applyFill="1"/>
    <xf numFmtId="0" fontId="2" fillId="0" borderId="0" xfId="0" applyFont="1" applyFill="1"/>
    <xf numFmtId="0" fontId="0" fillId="0" borderId="0" xfId="0" applyFill="1"/>
    <xf numFmtId="2" fontId="2" fillId="3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6"/>
  <sheetViews>
    <sheetView tabSelected="1" zoomScaleNormal="100" workbookViewId="0">
      <selection activeCell="E128" sqref="E128"/>
    </sheetView>
  </sheetViews>
  <sheetFormatPr defaultRowHeight="15.75" x14ac:dyDescent="0.25"/>
  <cols>
    <col min="1" max="1" width="6.140625" style="10" customWidth="1"/>
    <col min="2" max="2" width="8.42578125" style="11" customWidth="1"/>
    <col min="3" max="3" width="69.42578125" style="10" customWidth="1"/>
    <col min="4" max="4" width="9.140625" style="11"/>
    <col min="5" max="5" width="12.7109375" style="11" customWidth="1"/>
    <col min="6" max="6" width="72.140625" style="10" customWidth="1"/>
    <col min="7" max="7" width="0" style="11" hidden="1" customWidth="1"/>
    <col min="8" max="13" width="0" style="10" hidden="1" customWidth="1"/>
    <col min="14" max="16384" width="9.140625" style="10"/>
  </cols>
  <sheetData>
    <row r="2" spans="2:7" ht="18.75" x14ac:dyDescent="0.25">
      <c r="B2" s="80" t="s">
        <v>111</v>
      </c>
      <c r="C2" s="80"/>
      <c r="D2" s="80"/>
      <c r="E2" s="80"/>
      <c r="F2" s="80"/>
    </row>
    <row r="3" spans="2:7" ht="35.25" customHeight="1" x14ac:dyDescent="0.25">
      <c r="B3" s="81" t="s">
        <v>30</v>
      </c>
      <c r="C3" s="81"/>
      <c r="D3" s="81"/>
      <c r="E3" s="81"/>
      <c r="F3" s="81"/>
    </row>
    <row r="4" spans="2:7" s="20" customFormat="1" ht="22.5" customHeight="1" x14ac:dyDescent="0.25">
      <c r="B4" s="82" t="s">
        <v>112</v>
      </c>
      <c r="C4" s="82"/>
      <c r="D4" s="82"/>
      <c r="E4" s="82"/>
      <c r="F4" s="82"/>
      <c r="G4" s="61"/>
    </row>
    <row r="5" spans="2:7" ht="17.25" customHeight="1" thickBot="1" x14ac:dyDescent="0.3">
      <c r="B5" s="51" t="s">
        <v>92</v>
      </c>
      <c r="C5" s="9"/>
      <c r="D5" s="9"/>
      <c r="E5" s="9"/>
      <c r="F5" s="9"/>
    </row>
    <row r="6" spans="2:7" ht="32.25" thickTop="1" x14ac:dyDescent="0.25">
      <c r="B6" s="6" t="s">
        <v>13</v>
      </c>
      <c r="C6" s="7" t="s">
        <v>14</v>
      </c>
      <c r="D6" s="7" t="s">
        <v>7</v>
      </c>
      <c r="E6" s="7" t="s">
        <v>15</v>
      </c>
      <c r="F6" s="8" t="s">
        <v>16</v>
      </c>
    </row>
    <row r="7" spans="2:7" ht="36" customHeight="1" x14ac:dyDescent="0.25">
      <c r="B7" s="63" t="s">
        <v>19</v>
      </c>
      <c r="C7" s="64"/>
      <c r="D7" s="64"/>
      <c r="E7" s="64"/>
      <c r="F7" s="65"/>
    </row>
    <row r="8" spans="2:7" x14ac:dyDescent="0.25">
      <c r="B8" s="55">
        <v>1</v>
      </c>
      <c r="C8" s="56" t="s">
        <v>0</v>
      </c>
      <c r="D8" s="12" t="s">
        <v>1</v>
      </c>
      <c r="E8" s="14">
        <f>89*(ROUND(((1.65+0.1+0.1)*(1.65+0.1+0.1)*0.1),2))</f>
        <v>30.26</v>
      </c>
      <c r="F8" s="21" t="s">
        <v>2</v>
      </c>
      <c r="G8" s="11">
        <f>0.34*89</f>
        <v>30.26</v>
      </c>
    </row>
    <row r="9" spans="2:7" ht="15.75" customHeight="1" x14ac:dyDescent="0.25">
      <c r="B9" s="75">
        <v>2</v>
      </c>
      <c r="C9" s="72" t="s">
        <v>17</v>
      </c>
      <c r="D9" s="12" t="s">
        <v>1</v>
      </c>
      <c r="E9" s="14">
        <f>(ROUND((1.65*1.65*0.6),2))*89</f>
        <v>145.07</v>
      </c>
      <c r="F9" s="53" t="s">
        <v>3</v>
      </c>
      <c r="G9" s="11">
        <f>1.63*89</f>
        <v>145.07</v>
      </c>
    </row>
    <row r="10" spans="2:7" x14ac:dyDescent="0.25">
      <c r="B10" s="76"/>
      <c r="C10" s="73"/>
      <c r="D10" s="12" t="s">
        <v>5</v>
      </c>
      <c r="E10" s="32">
        <f>4*89</f>
        <v>356</v>
      </c>
      <c r="F10" s="66" t="s">
        <v>45</v>
      </c>
      <c r="G10" s="11">
        <f>4*89</f>
        <v>356</v>
      </c>
    </row>
    <row r="11" spans="2:7" x14ac:dyDescent="0.25">
      <c r="B11" s="76"/>
      <c r="C11" s="73"/>
      <c r="D11" s="70" t="s">
        <v>4</v>
      </c>
      <c r="E11" s="68">
        <f>(89*(ROUND((1.57*2*0.888)+(0.5*9*0.888),3)*4))/1000</f>
        <v>2.4151039999999999</v>
      </c>
      <c r="F11" s="67"/>
      <c r="G11" s="104">
        <f>6.784*G10/1000</f>
        <v>2.4151039999999999</v>
      </c>
    </row>
    <row r="12" spans="2:7" x14ac:dyDescent="0.25">
      <c r="B12" s="76"/>
      <c r="C12" s="73"/>
      <c r="D12" s="71"/>
      <c r="E12" s="69"/>
      <c r="F12" s="62" t="s">
        <v>46</v>
      </c>
      <c r="G12" s="11">
        <f>2*89</f>
        <v>178</v>
      </c>
    </row>
    <row r="13" spans="2:7" x14ac:dyDescent="0.25">
      <c r="B13" s="76"/>
      <c r="C13" s="73"/>
      <c r="D13" s="12" t="s">
        <v>5</v>
      </c>
      <c r="E13" s="32">
        <f>2*89</f>
        <v>178</v>
      </c>
      <c r="F13" s="66" t="s">
        <v>113</v>
      </c>
      <c r="G13" s="104">
        <f>34.139*G12/1000</f>
        <v>6.0767420000000003</v>
      </c>
    </row>
    <row r="14" spans="2:7" x14ac:dyDescent="0.25">
      <c r="B14" s="76"/>
      <c r="C14" s="73"/>
      <c r="D14" s="70" t="s">
        <v>4</v>
      </c>
      <c r="E14" s="68">
        <f>(34.139*E13)/1000</f>
        <v>6.0767420000000003</v>
      </c>
      <c r="F14" s="67"/>
    </row>
    <row r="15" spans="2:7" x14ac:dyDescent="0.25">
      <c r="B15" s="77"/>
      <c r="C15" s="74"/>
      <c r="D15" s="71"/>
      <c r="E15" s="69"/>
      <c r="F15" s="58" t="s">
        <v>47</v>
      </c>
    </row>
    <row r="16" spans="2:7" x14ac:dyDescent="0.25">
      <c r="B16" s="52">
        <v>3</v>
      </c>
      <c r="C16" s="59" t="s">
        <v>43</v>
      </c>
      <c r="D16" s="12" t="s">
        <v>18</v>
      </c>
      <c r="E16" s="14">
        <f>E17</f>
        <v>343.26</v>
      </c>
      <c r="F16" s="58" t="s">
        <v>6</v>
      </c>
    </row>
    <row r="17" spans="2:7" ht="47.25" customHeight="1" x14ac:dyDescent="0.25">
      <c r="B17" s="52">
        <v>4</v>
      </c>
      <c r="C17" s="31" t="s">
        <v>44</v>
      </c>
      <c r="D17" s="12" t="s">
        <v>18</v>
      </c>
      <c r="E17" s="14">
        <v>343.26</v>
      </c>
      <c r="F17" s="33" t="s">
        <v>48</v>
      </c>
    </row>
    <row r="18" spans="2:7" ht="39" customHeight="1" x14ac:dyDescent="0.25">
      <c r="B18" s="63" t="s">
        <v>20</v>
      </c>
      <c r="C18" s="64"/>
      <c r="D18" s="64"/>
      <c r="E18" s="64"/>
      <c r="F18" s="65"/>
    </row>
    <row r="19" spans="2:7" x14ac:dyDescent="0.25">
      <c r="B19" s="55">
        <v>5</v>
      </c>
      <c r="C19" s="56" t="s">
        <v>0</v>
      </c>
      <c r="D19" s="12" t="s">
        <v>1</v>
      </c>
      <c r="E19" s="14">
        <f>79*(ROUND((((1.65+0.1+0.1)*(1.65+0.1+0.1)*0.1)),2))</f>
        <v>26.860000000000003</v>
      </c>
      <c r="F19" s="21" t="s">
        <v>2</v>
      </c>
      <c r="G19" s="11">
        <f>0.34*79</f>
        <v>26.860000000000003</v>
      </c>
    </row>
    <row r="20" spans="2:7" ht="15.75" customHeight="1" x14ac:dyDescent="0.25">
      <c r="B20" s="75">
        <v>6</v>
      </c>
      <c r="C20" s="72" t="s">
        <v>17</v>
      </c>
      <c r="D20" s="12" t="s">
        <v>1</v>
      </c>
      <c r="E20" s="14">
        <f>(ROUND((1.65*1.65*0.6),2))*79</f>
        <v>128.76999999999998</v>
      </c>
      <c r="F20" s="53" t="s">
        <v>3</v>
      </c>
      <c r="G20" s="11">
        <f>1.63*79</f>
        <v>128.76999999999998</v>
      </c>
    </row>
    <row r="21" spans="2:7" x14ac:dyDescent="0.25">
      <c r="B21" s="76"/>
      <c r="C21" s="73"/>
      <c r="D21" s="12" t="s">
        <v>5</v>
      </c>
      <c r="E21" s="34">
        <f>4*79</f>
        <v>316</v>
      </c>
      <c r="F21" s="66" t="s">
        <v>45</v>
      </c>
      <c r="G21" s="11">
        <f>4*79</f>
        <v>316</v>
      </c>
    </row>
    <row r="22" spans="2:7" x14ac:dyDescent="0.25">
      <c r="B22" s="76"/>
      <c r="C22" s="73"/>
      <c r="D22" s="70" t="s">
        <v>4</v>
      </c>
      <c r="E22" s="68">
        <f>(79*(ROUND((1.57*2*0.888)+(0.5*9*0.888),3)*4))/1000</f>
        <v>2.1437440000000003</v>
      </c>
      <c r="F22" s="67"/>
      <c r="G22" s="104">
        <f>6.784*G21/1000</f>
        <v>2.1437440000000003</v>
      </c>
    </row>
    <row r="23" spans="2:7" x14ac:dyDescent="0.25">
      <c r="B23" s="76"/>
      <c r="C23" s="73"/>
      <c r="D23" s="71"/>
      <c r="E23" s="69"/>
      <c r="F23" s="58" t="s">
        <v>49</v>
      </c>
    </row>
    <row r="24" spans="2:7" x14ac:dyDescent="0.25">
      <c r="B24" s="76"/>
      <c r="C24" s="73"/>
      <c r="D24" s="12" t="s">
        <v>5</v>
      </c>
      <c r="E24" s="34">
        <f>2*79</f>
        <v>158</v>
      </c>
      <c r="F24" s="67" t="s">
        <v>104</v>
      </c>
      <c r="G24" s="11">
        <f>2*79</f>
        <v>158</v>
      </c>
    </row>
    <row r="25" spans="2:7" x14ac:dyDescent="0.25">
      <c r="B25" s="76"/>
      <c r="C25" s="73"/>
      <c r="D25" s="70" t="s">
        <v>4</v>
      </c>
      <c r="E25" s="68">
        <f>(41.725*E24)/1000</f>
        <v>6.5925500000000001</v>
      </c>
      <c r="F25" s="67"/>
      <c r="G25" s="104">
        <f>41.725*G24/1000</f>
        <v>6.5925500000000001</v>
      </c>
    </row>
    <row r="26" spans="2:7" x14ac:dyDescent="0.25">
      <c r="B26" s="77"/>
      <c r="C26" s="74"/>
      <c r="D26" s="71"/>
      <c r="E26" s="69"/>
      <c r="F26" s="58" t="s">
        <v>105</v>
      </c>
    </row>
    <row r="27" spans="2:7" x14ac:dyDescent="0.25">
      <c r="B27" s="52">
        <v>7</v>
      </c>
      <c r="C27" s="59" t="s">
        <v>43</v>
      </c>
      <c r="D27" s="12" t="s">
        <v>18</v>
      </c>
      <c r="E27" s="14">
        <f>E28</f>
        <v>261.18</v>
      </c>
      <c r="F27" s="58" t="s">
        <v>6</v>
      </c>
    </row>
    <row r="28" spans="2:7" ht="49.5" customHeight="1" x14ac:dyDescent="0.25">
      <c r="B28" s="52">
        <v>8</v>
      </c>
      <c r="C28" s="31" t="s">
        <v>44</v>
      </c>
      <c r="D28" s="12" t="s">
        <v>18</v>
      </c>
      <c r="E28" s="14">
        <v>261.18</v>
      </c>
      <c r="F28" s="33" t="s">
        <v>48</v>
      </c>
    </row>
    <row r="29" spans="2:7" ht="34.5" customHeight="1" x14ac:dyDescent="0.25">
      <c r="B29" s="63" t="s">
        <v>21</v>
      </c>
      <c r="C29" s="64"/>
      <c r="D29" s="64"/>
      <c r="E29" s="64"/>
      <c r="F29" s="65"/>
    </row>
    <row r="30" spans="2:7" x14ac:dyDescent="0.25">
      <c r="B30" s="55">
        <v>9</v>
      </c>
      <c r="C30" s="56" t="s">
        <v>0</v>
      </c>
      <c r="D30" s="12" t="s">
        <v>1</v>
      </c>
      <c r="E30" s="14">
        <f>11*(ROUND((1.85*(2.1+0.1+0.1)*0.1),2))</f>
        <v>4.7299999999999995</v>
      </c>
      <c r="F30" s="21" t="s">
        <v>2</v>
      </c>
      <c r="G30" s="11">
        <f>0.43*11</f>
        <v>4.7299999999999995</v>
      </c>
    </row>
    <row r="31" spans="2:7" ht="15.75" customHeight="1" x14ac:dyDescent="0.25">
      <c r="B31" s="75">
        <v>10</v>
      </c>
      <c r="C31" s="72" t="s">
        <v>17</v>
      </c>
      <c r="D31" s="12" t="s">
        <v>1</v>
      </c>
      <c r="E31" s="14">
        <f>(ROUND((1.65*2.1*0.6),2))*11</f>
        <v>22.880000000000003</v>
      </c>
      <c r="F31" s="53" t="s">
        <v>3</v>
      </c>
      <c r="G31" s="11">
        <f>2.08*11</f>
        <v>22.880000000000003</v>
      </c>
    </row>
    <row r="32" spans="2:7" ht="16.5" customHeight="1" x14ac:dyDescent="0.25">
      <c r="B32" s="76"/>
      <c r="C32" s="73"/>
      <c r="D32" s="12" t="s">
        <v>5</v>
      </c>
      <c r="E32" s="32">
        <f>11*2</f>
        <v>22</v>
      </c>
      <c r="F32" s="66" t="s">
        <v>50</v>
      </c>
      <c r="G32" s="11">
        <f>2*11</f>
        <v>22</v>
      </c>
    </row>
    <row r="33" spans="2:7" x14ac:dyDescent="0.25">
      <c r="B33" s="76"/>
      <c r="C33" s="73"/>
      <c r="D33" s="70" t="s">
        <v>4</v>
      </c>
      <c r="E33" s="68">
        <f>(11*(ROUND((1.57*2*0.888)+(0.5*9*0.888),3)*2))/1000</f>
        <v>0.14924799999999999</v>
      </c>
      <c r="F33" s="67"/>
      <c r="G33" s="104">
        <f>6.784*G32/1000</f>
        <v>0.14924799999999999</v>
      </c>
    </row>
    <row r="34" spans="2:7" x14ac:dyDescent="0.25">
      <c r="B34" s="76"/>
      <c r="C34" s="73"/>
      <c r="D34" s="71"/>
      <c r="E34" s="69"/>
      <c r="F34" s="62" t="s">
        <v>51</v>
      </c>
    </row>
    <row r="35" spans="2:7" x14ac:dyDescent="0.25">
      <c r="B35" s="76"/>
      <c r="C35" s="73"/>
      <c r="D35" s="12" t="s">
        <v>5</v>
      </c>
      <c r="E35" s="32">
        <f>11*2</f>
        <v>22</v>
      </c>
      <c r="F35" s="66" t="s">
        <v>52</v>
      </c>
      <c r="G35" s="11">
        <f>2*11</f>
        <v>22</v>
      </c>
    </row>
    <row r="36" spans="2:7" x14ac:dyDescent="0.25">
      <c r="B36" s="76"/>
      <c r="C36" s="73"/>
      <c r="D36" s="70" t="s">
        <v>4</v>
      </c>
      <c r="E36" s="68">
        <f>(11*(ROUND((2.02*2*0.888)+(0.5*11*0.888),3)*2))/1000</f>
        <v>0.18638399999999999</v>
      </c>
      <c r="F36" s="67"/>
      <c r="G36" s="104">
        <f>8.472*G35/1000</f>
        <v>0.18638399999999999</v>
      </c>
    </row>
    <row r="37" spans="2:7" x14ac:dyDescent="0.25">
      <c r="B37" s="76"/>
      <c r="C37" s="73"/>
      <c r="D37" s="71"/>
      <c r="E37" s="69"/>
      <c r="F37" s="62" t="s">
        <v>53</v>
      </c>
    </row>
    <row r="38" spans="2:7" x14ac:dyDescent="0.25">
      <c r="B38" s="76"/>
      <c r="C38" s="73"/>
      <c r="D38" s="12" t="s">
        <v>5</v>
      </c>
      <c r="E38" s="32">
        <f>11*2</f>
        <v>22</v>
      </c>
      <c r="F38" s="66" t="s">
        <v>54</v>
      </c>
      <c r="G38" s="11">
        <f>2*11</f>
        <v>22</v>
      </c>
    </row>
    <row r="39" spans="2:7" x14ac:dyDescent="0.25">
      <c r="B39" s="76"/>
      <c r="C39" s="73"/>
      <c r="D39" s="70" t="s">
        <v>4</v>
      </c>
      <c r="E39" s="68">
        <f>(11*(ROUND((2.02*9*1.208+1.57*11*1.208),3)*2))/1000</f>
        <v>0.94212799999999997</v>
      </c>
      <c r="F39" s="67"/>
      <c r="G39" s="104">
        <f>42.824*G38/1000</f>
        <v>0.94212799999999997</v>
      </c>
    </row>
    <row r="40" spans="2:7" x14ac:dyDescent="0.25">
      <c r="B40" s="77"/>
      <c r="C40" s="74"/>
      <c r="D40" s="71"/>
      <c r="E40" s="69"/>
      <c r="F40" s="58" t="s">
        <v>55</v>
      </c>
    </row>
    <row r="41" spans="2:7" x14ac:dyDescent="0.25">
      <c r="B41" s="52">
        <v>11</v>
      </c>
      <c r="C41" s="59" t="s">
        <v>43</v>
      </c>
      <c r="D41" s="12" t="s">
        <v>18</v>
      </c>
      <c r="E41" s="14">
        <f>E42</f>
        <v>46.8</v>
      </c>
      <c r="F41" s="58" t="s">
        <v>6</v>
      </c>
    </row>
    <row r="42" spans="2:7" ht="47.25" x14ac:dyDescent="0.25">
      <c r="B42" s="52">
        <v>12</v>
      </c>
      <c r="C42" s="31" t="s">
        <v>44</v>
      </c>
      <c r="D42" s="12" t="s">
        <v>18</v>
      </c>
      <c r="E42" s="14">
        <v>46.8</v>
      </c>
      <c r="F42" s="33" t="s">
        <v>48</v>
      </c>
    </row>
    <row r="43" spans="2:7" ht="32.25" customHeight="1" x14ac:dyDescent="0.25">
      <c r="B43" s="63" t="s">
        <v>22</v>
      </c>
      <c r="C43" s="64"/>
      <c r="D43" s="64"/>
      <c r="E43" s="64"/>
      <c r="F43" s="65"/>
    </row>
    <row r="44" spans="2:7" x14ac:dyDescent="0.25">
      <c r="B44" s="55">
        <v>13</v>
      </c>
      <c r="C44" s="56" t="s">
        <v>0</v>
      </c>
      <c r="D44" s="12" t="s">
        <v>1</v>
      </c>
      <c r="E44" s="14">
        <f>1*((3.48+0.1+0.1)*(2.53+0.1+0.1)*0.1)</f>
        <v>1.00464</v>
      </c>
      <c r="F44" s="21" t="s">
        <v>2</v>
      </c>
      <c r="G44" s="11">
        <v>1</v>
      </c>
    </row>
    <row r="45" spans="2:7" ht="15.75" customHeight="1" x14ac:dyDescent="0.25">
      <c r="B45" s="75">
        <v>14</v>
      </c>
      <c r="C45" s="72" t="s">
        <v>17</v>
      </c>
      <c r="D45" s="12" t="s">
        <v>1</v>
      </c>
      <c r="E45" s="14">
        <f>1*(3.48*2.53*0.6)</f>
        <v>5.2826399999999998</v>
      </c>
      <c r="F45" s="53" t="s">
        <v>3</v>
      </c>
      <c r="G45" s="11">
        <f>5.28</f>
        <v>5.28</v>
      </c>
    </row>
    <row r="46" spans="2:7" ht="19.5" customHeight="1" x14ac:dyDescent="0.25">
      <c r="B46" s="76"/>
      <c r="C46" s="73"/>
      <c r="D46" s="12" t="s">
        <v>5</v>
      </c>
      <c r="E46" s="32">
        <f>1*6</f>
        <v>6</v>
      </c>
      <c r="F46" s="66" t="s">
        <v>56</v>
      </c>
      <c r="G46" s="11">
        <f>6</f>
        <v>6</v>
      </c>
    </row>
    <row r="47" spans="2:7" x14ac:dyDescent="0.25">
      <c r="B47" s="76"/>
      <c r="C47" s="73"/>
      <c r="D47" s="70" t="s">
        <v>4</v>
      </c>
      <c r="E47" s="68">
        <f>(ROUND((2.45*2*0.888)+(0.5*13*0.888),3)*6)/1000</f>
        <v>6.0738E-2</v>
      </c>
      <c r="F47" s="67"/>
      <c r="G47" s="104">
        <f>10.123*G46/1000</f>
        <v>6.0738E-2</v>
      </c>
    </row>
    <row r="48" spans="2:7" x14ac:dyDescent="0.25">
      <c r="B48" s="76"/>
      <c r="C48" s="73"/>
      <c r="D48" s="71"/>
      <c r="E48" s="69"/>
      <c r="F48" s="62" t="s">
        <v>57</v>
      </c>
    </row>
    <row r="49" spans="2:7" x14ac:dyDescent="0.25">
      <c r="B49" s="76"/>
      <c r="C49" s="73"/>
      <c r="D49" s="12" t="s">
        <v>5</v>
      </c>
      <c r="E49" s="32">
        <f>1*2</f>
        <v>2</v>
      </c>
      <c r="F49" s="66" t="s">
        <v>58</v>
      </c>
      <c r="G49" s="11">
        <f>2</f>
        <v>2</v>
      </c>
    </row>
    <row r="50" spans="2:7" x14ac:dyDescent="0.25">
      <c r="B50" s="76"/>
      <c r="C50" s="73"/>
      <c r="D50" s="70" t="s">
        <v>4</v>
      </c>
      <c r="E50" s="68">
        <f>(ROUND((3.4*2*0.888)+(0.5*18*0.888),3)*2)/1000</f>
        <v>2.8059999999999998E-2</v>
      </c>
      <c r="F50" s="67"/>
      <c r="G50" s="104">
        <f>G49*14.03/1000</f>
        <v>2.8059999999999998E-2</v>
      </c>
    </row>
    <row r="51" spans="2:7" x14ac:dyDescent="0.25">
      <c r="B51" s="76"/>
      <c r="C51" s="73"/>
      <c r="D51" s="71"/>
      <c r="E51" s="69"/>
      <c r="F51" s="62" t="s">
        <v>59</v>
      </c>
    </row>
    <row r="52" spans="2:7" x14ac:dyDescent="0.25">
      <c r="B52" s="76"/>
      <c r="C52" s="73"/>
      <c r="D52" s="12" t="s">
        <v>5</v>
      </c>
      <c r="E52" s="32">
        <f>1*2</f>
        <v>2</v>
      </c>
      <c r="F52" s="66" t="s">
        <v>60</v>
      </c>
      <c r="G52" s="11">
        <f>2</f>
        <v>2</v>
      </c>
    </row>
    <row r="53" spans="2:7" x14ac:dyDescent="0.25">
      <c r="B53" s="76"/>
      <c r="C53" s="73"/>
      <c r="D53" s="70" t="s">
        <v>4</v>
      </c>
      <c r="E53" s="68">
        <f>(1*ROUND((3.4*13*1.208+2.45*18*1.208),3)*2)/1000</f>
        <v>0.21333199999999999</v>
      </c>
      <c r="F53" s="67"/>
      <c r="G53" s="104">
        <f>G52*106.666/1000</f>
        <v>0.21333199999999999</v>
      </c>
    </row>
    <row r="54" spans="2:7" x14ac:dyDescent="0.25">
      <c r="B54" s="76"/>
      <c r="C54" s="73"/>
      <c r="D54" s="71"/>
      <c r="E54" s="69"/>
      <c r="F54" s="58" t="s">
        <v>61</v>
      </c>
    </row>
    <row r="55" spans="2:7" ht="24" customHeight="1" x14ac:dyDescent="0.25">
      <c r="B55" s="76"/>
      <c r="C55" s="73"/>
      <c r="D55" s="12" t="s">
        <v>5</v>
      </c>
      <c r="E55" s="17">
        <v>54</v>
      </c>
      <c r="F55" s="67" t="s">
        <v>25</v>
      </c>
      <c r="G55" s="11">
        <v>54</v>
      </c>
    </row>
    <row r="56" spans="2:7" ht="23.25" customHeight="1" x14ac:dyDescent="0.25">
      <c r="B56" s="77"/>
      <c r="C56" s="74"/>
      <c r="D56" s="12" t="s">
        <v>4</v>
      </c>
      <c r="E56" s="15">
        <f>(3.115*E55)*0.617/1000</f>
        <v>0.10378557000000001</v>
      </c>
      <c r="F56" s="79"/>
      <c r="G56" s="104">
        <f>1.922*54/1000</f>
        <v>0.10378799999999999</v>
      </c>
    </row>
    <row r="57" spans="2:7" ht="23.25" customHeight="1" x14ac:dyDescent="0.25">
      <c r="B57" s="52">
        <v>15</v>
      </c>
      <c r="C57" s="59" t="s">
        <v>43</v>
      </c>
      <c r="D57" s="12" t="s">
        <v>18</v>
      </c>
      <c r="E57" s="14">
        <f>E58</f>
        <v>7.2119999999999997</v>
      </c>
      <c r="F57" s="58" t="s">
        <v>6</v>
      </c>
    </row>
    <row r="58" spans="2:7" ht="50.25" customHeight="1" x14ac:dyDescent="0.25">
      <c r="B58" s="52">
        <v>16</v>
      </c>
      <c r="C58" s="56" t="s">
        <v>44</v>
      </c>
      <c r="D58" s="12" t="s">
        <v>18</v>
      </c>
      <c r="E58" s="14">
        <f>12.02*0.6*1</f>
        <v>7.2119999999999997</v>
      </c>
      <c r="F58" s="33" t="s">
        <v>48</v>
      </c>
    </row>
    <row r="59" spans="2:7" ht="36.75" customHeight="1" x14ac:dyDescent="0.25">
      <c r="B59" s="78" t="s">
        <v>107</v>
      </c>
      <c r="C59" s="64"/>
      <c r="D59" s="64"/>
      <c r="E59" s="64"/>
      <c r="F59" s="65"/>
    </row>
    <row r="60" spans="2:7" x14ac:dyDescent="0.25">
      <c r="B60" s="55">
        <v>17</v>
      </c>
      <c r="C60" s="56" t="s">
        <v>0</v>
      </c>
      <c r="D60" s="12" t="s">
        <v>1</v>
      </c>
      <c r="E60" s="14">
        <f>1* (3.415+0.1+0.1)*(4.9+0.1+0.1)*0.1</f>
        <v>1.84365</v>
      </c>
      <c r="F60" s="21" t="s">
        <v>2</v>
      </c>
      <c r="G60" s="11">
        <f>1.84</f>
        <v>1.84</v>
      </c>
    </row>
    <row r="61" spans="2:7" ht="15.75" customHeight="1" x14ac:dyDescent="0.25">
      <c r="B61" s="75">
        <v>18</v>
      </c>
      <c r="C61" s="72" t="s">
        <v>17</v>
      </c>
      <c r="D61" s="12" t="s">
        <v>1</v>
      </c>
      <c r="E61" s="14">
        <f>1*(3.415*4.9*0.6)</f>
        <v>10.040100000000001</v>
      </c>
      <c r="F61" s="53" t="s">
        <v>3</v>
      </c>
      <c r="G61" s="11">
        <v>10.039999999999999</v>
      </c>
    </row>
    <row r="62" spans="2:7" ht="18" customHeight="1" x14ac:dyDescent="0.25">
      <c r="B62" s="76"/>
      <c r="C62" s="73"/>
      <c r="D62" s="12" t="s">
        <v>5</v>
      </c>
      <c r="E62" s="32">
        <f>1*9</f>
        <v>9</v>
      </c>
      <c r="F62" s="66" t="s">
        <v>62</v>
      </c>
      <c r="G62" s="11">
        <f>9</f>
        <v>9</v>
      </c>
    </row>
    <row r="63" spans="2:7" x14ac:dyDescent="0.25">
      <c r="B63" s="76"/>
      <c r="C63" s="73"/>
      <c r="D63" s="70" t="s">
        <v>4</v>
      </c>
      <c r="E63" s="68">
        <f>(ROUND((3.335*2*0.888)+(0.5*17*0.888),3)*9)/1000</f>
        <v>0.121239</v>
      </c>
      <c r="F63" s="67"/>
      <c r="G63" s="104">
        <f>G62*13.471/1000</f>
        <v>0.121239</v>
      </c>
    </row>
    <row r="64" spans="2:7" x14ac:dyDescent="0.25">
      <c r="B64" s="76"/>
      <c r="C64" s="73"/>
      <c r="D64" s="71"/>
      <c r="E64" s="69"/>
      <c r="F64" s="62" t="s">
        <v>63</v>
      </c>
    </row>
    <row r="65" spans="2:8" x14ac:dyDescent="0.25">
      <c r="B65" s="76"/>
      <c r="C65" s="73"/>
      <c r="D65" s="12" t="s">
        <v>5</v>
      </c>
      <c r="E65" s="32">
        <f>1*2</f>
        <v>2</v>
      </c>
      <c r="F65" s="66" t="s">
        <v>64</v>
      </c>
      <c r="G65" s="11">
        <v>2</v>
      </c>
    </row>
    <row r="66" spans="2:8" x14ac:dyDescent="0.25">
      <c r="B66" s="76"/>
      <c r="C66" s="73"/>
      <c r="D66" s="70" t="s">
        <v>4</v>
      </c>
      <c r="E66" s="68">
        <f>(ROUND((4.82*2*0.888)+(0.5*25*0.888),3)*2)/1000</f>
        <v>3.9320000000000001E-2</v>
      </c>
      <c r="F66" s="67"/>
      <c r="G66" s="104">
        <f>19.66*G65/1000</f>
        <v>3.9320000000000001E-2</v>
      </c>
    </row>
    <row r="67" spans="2:8" x14ac:dyDescent="0.25">
      <c r="B67" s="76"/>
      <c r="C67" s="73"/>
      <c r="D67" s="71"/>
      <c r="E67" s="69"/>
      <c r="F67" s="58" t="s">
        <v>65</v>
      </c>
    </row>
    <row r="68" spans="2:8" x14ac:dyDescent="0.25">
      <c r="B68" s="76"/>
      <c r="C68" s="73"/>
      <c r="D68" s="12" t="s">
        <v>4</v>
      </c>
      <c r="E68" s="15">
        <f>(((ROUND(4.82*1.208,3)*38)+((ROUND(3.335*1.208,3)*52))))*1/1000</f>
        <v>0.430782</v>
      </c>
      <c r="F68" s="58" t="s">
        <v>8</v>
      </c>
      <c r="G68" s="104">
        <f>(4.82*38+3.335*52)*1.208/1000</f>
        <v>0.43074864000000002</v>
      </c>
      <c r="H68" s="16">
        <f>(5.823*38+4.029*52)/1000</f>
        <v>0.430782</v>
      </c>
    </row>
    <row r="69" spans="2:8" x14ac:dyDescent="0.25">
      <c r="B69" s="76"/>
      <c r="C69" s="73"/>
      <c r="D69" s="12" t="s">
        <v>4</v>
      </c>
      <c r="E69" s="15">
        <f>(((ROUND(1.33*0.617,3)*62)+((ROUND(1.53*0.617,3)*4))))*1/1000</f>
        <v>5.4677999999999997E-2</v>
      </c>
      <c r="F69" s="58" t="s">
        <v>24</v>
      </c>
      <c r="G69" s="104">
        <f>(1.33*62+1.53*4)*0.617/1000</f>
        <v>5.4653860000000005E-2</v>
      </c>
    </row>
    <row r="70" spans="2:8" x14ac:dyDescent="0.25">
      <c r="B70" s="76"/>
      <c r="C70" s="73"/>
      <c r="D70" s="12" t="s">
        <v>5</v>
      </c>
      <c r="E70" s="17">
        <v>25</v>
      </c>
      <c r="F70" s="67" t="s">
        <v>25</v>
      </c>
    </row>
    <row r="71" spans="2:8" x14ac:dyDescent="0.25">
      <c r="B71" s="76"/>
      <c r="C71" s="73"/>
      <c r="D71" s="12" t="s">
        <v>4</v>
      </c>
      <c r="E71" s="15">
        <f>(((ROUND(3.115*0.617,3))*25)*1)/1000</f>
        <v>4.8049999999999995E-2</v>
      </c>
      <c r="F71" s="79"/>
    </row>
    <row r="72" spans="2:8" x14ac:dyDescent="0.25">
      <c r="B72" s="76"/>
      <c r="C72" s="73"/>
      <c r="D72" s="12" t="s">
        <v>5</v>
      </c>
      <c r="E72" s="17">
        <v>27</v>
      </c>
      <c r="F72" s="67" t="s">
        <v>106</v>
      </c>
    </row>
    <row r="73" spans="2:8" ht="25.5" customHeight="1" x14ac:dyDescent="0.25">
      <c r="B73" s="76"/>
      <c r="C73" s="73"/>
      <c r="D73" s="12" t="s">
        <v>4</v>
      </c>
      <c r="E73" s="15">
        <f>(((ROUND(3.14*0.617,3))*27)*1)/1000</f>
        <v>5.2298999999999998E-2</v>
      </c>
      <c r="F73" s="79"/>
    </row>
    <row r="74" spans="2:8" x14ac:dyDescent="0.25">
      <c r="B74" s="55">
        <v>19</v>
      </c>
      <c r="C74" s="103" t="s">
        <v>43</v>
      </c>
      <c r="D74" s="12" t="s">
        <v>18</v>
      </c>
      <c r="E74" s="14">
        <f>E75</f>
        <v>9.0779999999999994</v>
      </c>
      <c r="F74" s="58" t="s">
        <v>6</v>
      </c>
    </row>
    <row r="75" spans="2:8" ht="47.25" x14ac:dyDescent="0.25">
      <c r="B75" s="52">
        <v>20</v>
      </c>
      <c r="C75" s="56" t="s">
        <v>44</v>
      </c>
      <c r="D75" s="12" t="s">
        <v>18</v>
      </c>
      <c r="E75" s="14">
        <v>9.0779999999999994</v>
      </c>
      <c r="F75" s="33" t="s">
        <v>48</v>
      </c>
    </row>
    <row r="76" spans="2:8" ht="35.25" customHeight="1" x14ac:dyDescent="0.25">
      <c r="B76" s="63" t="s">
        <v>108</v>
      </c>
      <c r="C76" s="64"/>
      <c r="D76" s="64"/>
      <c r="E76" s="64"/>
      <c r="F76" s="65"/>
    </row>
    <row r="77" spans="2:8" x14ac:dyDescent="0.25">
      <c r="B77" s="55">
        <v>21</v>
      </c>
      <c r="C77" s="56" t="s">
        <v>0</v>
      </c>
      <c r="D77" s="12" t="s">
        <v>1</v>
      </c>
      <c r="E77" s="14">
        <f>12*(ROUND(((1.85+0.1+0.1)*(1.85+0.1+0.1)*0.1),2))</f>
        <v>5.04</v>
      </c>
      <c r="F77" s="21" t="s">
        <v>2</v>
      </c>
      <c r="G77" s="11">
        <f>0.42*12</f>
        <v>5.04</v>
      </c>
    </row>
    <row r="78" spans="2:8" ht="15" customHeight="1" x14ac:dyDescent="0.25">
      <c r="B78" s="75">
        <v>22</v>
      </c>
      <c r="C78" s="72" t="s">
        <v>17</v>
      </c>
      <c r="D78" s="12" t="s">
        <v>1</v>
      </c>
      <c r="E78" s="14">
        <f>(ROUND((1.85*1.85*0.6),2))*12</f>
        <v>24.599999999999998</v>
      </c>
      <c r="F78" s="53" t="s">
        <v>3</v>
      </c>
      <c r="G78" s="11">
        <f>2.05*12</f>
        <v>24.599999999999998</v>
      </c>
    </row>
    <row r="79" spans="2:8" x14ac:dyDescent="0.25">
      <c r="B79" s="76"/>
      <c r="C79" s="73"/>
      <c r="D79" s="12" t="s">
        <v>5</v>
      </c>
      <c r="E79" s="32">
        <f>12*4</f>
        <v>48</v>
      </c>
      <c r="F79" s="66" t="s">
        <v>66</v>
      </c>
      <c r="G79" s="11">
        <f>4*12</f>
        <v>48</v>
      </c>
    </row>
    <row r="80" spans="2:8" x14ac:dyDescent="0.25">
      <c r="B80" s="76"/>
      <c r="C80" s="73"/>
      <c r="D80" s="70" t="s">
        <v>4</v>
      </c>
      <c r="E80" s="68">
        <f>E79*7.854/1000</f>
        <v>0.37699199999999999</v>
      </c>
      <c r="F80" s="67"/>
      <c r="G80" s="104">
        <f>G79*7.854/1000</f>
        <v>0.37699199999999999</v>
      </c>
    </row>
    <row r="81" spans="2:8" x14ac:dyDescent="0.25">
      <c r="B81" s="76"/>
      <c r="C81" s="73"/>
      <c r="D81" s="71"/>
      <c r="E81" s="69"/>
      <c r="F81" s="62" t="s">
        <v>109</v>
      </c>
    </row>
    <row r="82" spans="2:8" x14ac:dyDescent="0.25">
      <c r="B82" s="76"/>
      <c r="C82" s="73"/>
      <c r="D82" s="12" t="s">
        <v>5</v>
      </c>
      <c r="E82" s="32">
        <f>12*2</f>
        <v>24</v>
      </c>
      <c r="F82" s="66" t="s">
        <v>110</v>
      </c>
      <c r="G82" s="11">
        <f>2*12</f>
        <v>24</v>
      </c>
    </row>
    <row r="83" spans="2:8" x14ac:dyDescent="0.25">
      <c r="B83" s="76"/>
      <c r="C83" s="73"/>
      <c r="D83" s="70" t="s">
        <v>4</v>
      </c>
      <c r="E83" s="68">
        <f>(12*(ROUND((1.77*20*1.208),3)*2))/1000</f>
        <v>1.0263119999999999</v>
      </c>
      <c r="F83" s="67"/>
      <c r="G83" s="104">
        <f>42.764*G82/1000</f>
        <v>1.0263359999999999</v>
      </c>
    </row>
    <row r="84" spans="2:8" x14ac:dyDescent="0.25">
      <c r="B84" s="77"/>
      <c r="C84" s="74"/>
      <c r="D84" s="71"/>
      <c r="E84" s="69"/>
      <c r="F84" s="58" t="s">
        <v>67</v>
      </c>
    </row>
    <row r="85" spans="2:8" x14ac:dyDescent="0.25">
      <c r="B85" s="52">
        <v>23</v>
      </c>
      <c r="C85" s="59" t="s">
        <v>43</v>
      </c>
      <c r="D85" s="12" t="s">
        <v>18</v>
      </c>
      <c r="E85" s="50">
        <f>E86</f>
        <v>53.28</v>
      </c>
      <c r="F85" s="58" t="s">
        <v>6</v>
      </c>
    </row>
    <row r="86" spans="2:8" ht="47.25" x14ac:dyDescent="0.25">
      <c r="B86" s="52">
        <v>24</v>
      </c>
      <c r="C86" s="56" t="s">
        <v>44</v>
      </c>
      <c r="D86" s="12" t="s">
        <v>18</v>
      </c>
      <c r="E86" s="14">
        <v>53.28</v>
      </c>
      <c r="F86" s="33" t="s">
        <v>48</v>
      </c>
    </row>
    <row r="87" spans="2:8" ht="46.5" customHeight="1" x14ac:dyDescent="0.25">
      <c r="B87" s="78" t="s">
        <v>95</v>
      </c>
      <c r="C87" s="64"/>
      <c r="D87" s="64"/>
      <c r="E87" s="64"/>
      <c r="F87" s="65"/>
    </row>
    <row r="88" spans="2:8" s="35" customFormat="1" ht="15.75" customHeight="1" x14ac:dyDescent="0.25">
      <c r="B88" s="55">
        <v>25</v>
      </c>
      <c r="C88" s="13" t="s">
        <v>0</v>
      </c>
      <c r="D88" s="12" t="s">
        <v>1</v>
      </c>
      <c r="E88" s="14">
        <v>22.3</v>
      </c>
      <c r="F88" s="21" t="s">
        <v>2</v>
      </c>
      <c r="G88" s="101" t="s">
        <v>38</v>
      </c>
    </row>
    <row r="89" spans="2:8" s="35" customFormat="1" ht="15.75" customHeight="1" x14ac:dyDescent="0.25">
      <c r="B89" s="88">
        <v>26</v>
      </c>
      <c r="C89" s="89" t="s">
        <v>23</v>
      </c>
      <c r="D89" s="12" t="s">
        <v>1</v>
      </c>
      <c r="E89" s="14">
        <f>(334.96*0.5*0.6)+((334.96-0.9-0.9-0.9)*0.13*0.2)</f>
        <v>109.12675999999999</v>
      </c>
      <c r="F89" s="53" t="s">
        <v>3</v>
      </c>
      <c r="G89" s="101" t="s">
        <v>38</v>
      </c>
    </row>
    <row r="90" spans="2:8" s="35" customFormat="1" ht="15.75" customHeight="1" x14ac:dyDescent="0.25">
      <c r="B90" s="88"/>
      <c r="C90" s="89"/>
      <c r="D90" s="12" t="s">
        <v>26</v>
      </c>
      <c r="E90" s="96">
        <f>334.96*3</f>
        <v>1004.8799999999999</v>
      </c>
      <c r="F90" s="90" t="s">
        <v>96</v>
      </c>
      <c r="G90" s="101" t="s">
        <v>38</v>
      </c>
    </row>
    <row r="91" spans="2:8" s="35" customFormat="1" ht="15.75" customHeight="1" x14ac:dyDescent="0.25">
      <c r="B91" s="88"/>
      <c r="C91" s="89"/>
      <c r="D91" s="70" t="s">
        <v>4</v>
      </c>
      <c r="E91" s="68">
        <f>(4.726*E90)/1000</f>
        <v>4.7490628799999994</v>
      </c>
      <c r="F91" s="91"/>
      <c r="G91" s="101"/>
    </row>
    <row r="92" spans="2:8" s="35" customFormat="1" ht="15.75" customHeight="1" x14ac:dyDescent="0.25">
      <c r="B92" s="88"/>
      <c r="C92" s="89"/>
      <c r="D92" s="84"/>
      <c r="E92" s="83"/>
      <c r="F92" s="62" t="s">
        <v>69</v>
      </c>
      <c r="G92" s="97">
        <f>1.578*2*1004.88/1000</f>
        <v>3.17140128</v>
      </c>
      <c r="H92" s="98">
        <f>G92+G93</f>
        <v>4.7490628800000003</v>
      </c>
    </row>
    <row r="93" spans="2:8" s="35" customFormat="1" ht="15.75" customHeight="1" x14ac:dyDescent="0.25">
      <c r="B93" s="88"/>
      <c r="C93" s="89"/>
      <c r="D93" s="71"/>
      <c r="E93" s="69"/>
      <c r="F93" s="62" t="s">
        <v>97</v>
      </c>
      <c r="G93" s="97">
        <f>0.314*5*1004.88/1000</f>
        <v>1.5776616000000001</v>
      </c>
      <c r="H93" s="99"/>
    </row>
    <row r="94" spans="2:8" s="35" customFormat="1" ht="15.75" customHeight="1" x14ac:dyDescent="0.25">
      <c r="B94" s="88"/>
      <c r="C94" s="89"/>
      <c r="D94" s="12" t="s">
        <v>26</v>
      </c>
      <c r="E94" s="96">
        <f>334.96</f>
        <v>334.96</v>
      </c>
      <c r="F94" s="90" t="s">
        <v>27</v>
      </c>
      <c r="G94" s="101"/>
    </row>
    <row r="95" spans="2:8" s="35" customFormat="1" ht="15.75" customHeight="1" x14ac:dyDescent="0.25">
      <c r="B95" s="88"/>
      <c r="C95" s="89"/>
      <c r="D95" s="70" t="s">
        <v>4</v>
      </c>
      <c r="E95" s="85">
        <f>(5.346*E94)/1000</f>
        <v>1.79069616</v>
      </c>
      <c r="F95" s="91"/>
      <c r="G95" s="101"/>
      <c r="H95" s="101"/>
    </row>
    <row r="96" spans="2:8" s="35" customFormat="1" ht="15.75" customHeight="1" x14ac:dyDescent="0.25">
      <c r="B96" s="88"/>
      <c r="C96" s="89"/>
      <c r="D96" s="84"/>
      <c r="E96" s="86"/>
      <c r="F96" s="62" t="s">
        <v>70</v>
      </c>
      <c r="G96" s="102">
        <f>1.578*2*334.96/1000</f>
        <v>1.0571337599999999</v>
      </c>
      <c r="H96" s="98">
        <f>G96+G97</f>
        <v>1.7908133959999999</v>
      </c>
    </row>
    <row r="97" spans="2:8" s="35" customFormat="1" ht="15.75" customHeight="1" x14ac:dyDescent="0.25">
      <c r="B97" s="88"/>
      <c r="C97" s="89"/>
      <c r="D97" s="71"/>
      <c r="E97" s="87"/>
      <c r="F97" s="62" t="s">
        <v>91</v>
      </c>
      <c r="G97" s="102">
        <f>(0.71*0.617*5*334.96)/1000</f>
        <v>0.73367963599999986</v>
      </c>
      <c r="H97" s="99"/>
    </row>
    <row r="98" spans="2:8" s="35" customFormat="1" ht="15.75" customHeight="1" x14ac:dyDescent="0.25">
      <c r="B98" s="88"/>
      <c r="C98" s="89"/>
      <c r="D98" s="12" t="s">
        <v>26</v>
      </c>
      <c r="E98" s="96">
        <f>325.46</f>
        <v>325.45999999999998</v>
      </c>
      <c r="F98" s="90" t="s">
        <v>98</v>
      </c>
      <c r="G98" s="101"/>
    </row>
    <row r="99" spans="2:8" s="35" customFormat="1" ht="15.75" customHeight="1" x14ac:dyDescent="0.25">
      <c r="B99" s="88"/>
      <c r="C99" s="89"/>
      <c r="D99" s="70" t="s">
        <v>4</v>
      </c>
      <c r="E99" s="68">
        <f>(E98*1.925)/1000</f>
        <v>0.62651049999999997</v>
      </c>
      <c r="F99" s="91"/>
      <c r="G99" s="101"/>
    </row>
    <row r="100" spans="2:8" s="35" customFormat="1" ht="15.75" customHeight="1" x14ac:dyDescent="0.25">
      <c r="B100" s="88"/>
      <c r="C100" s="89"/>
      <c r="D100" s="71"/>
      <c r="E100" s="69"/>
      <c r="F100" s="58" t="s">
        <v>99</v>
      </c>
      <c r="G100" s="102">
        <f>(0.575*5*0.395+0.395*2)*325.46/1000</f>
        <v>0.62671391249999997</v>
      </c>
    </row>
    <row r="101" spans="2:8" s="35" customFormat="1" ht="21" customHeight="1" x14ac:dyDescent="0.25">
      <c r="B101" s="88"/>
      <c r="C101" s="89"/>
      <c r="D101" s="12" t="s">
        <v>4</v>
      </c>
      <c r="E101" s="15">
        <f>(3400*0.272)/1000</f>
        <v>0.92480000000000007</v>
      </c>
      <c r="F101" s="58" t="s">
        <v>68</v>
      </c>
      <c r="G101" s="105">
        <f>0.44*0.617</f>
        <v>0.27148</v>
      </c>
    </row>
    <row r="102" spans="2:8" s="35" customFormat="1" ht="21.75" customHeight="1" x14ac:dyDescent="0.25">
      <c r="B102" s="88"/>
      <c r="C102" s="89"/>
      <c r="D102" s="12" t="s">
        <v>4</v>
      </c>
      <c r="E102" s="15">
        <f>2721*1.578/1000</f>
        <v>4.2937380000000003</v>
      </c>
      <c r="F102" s="22" t="s">
        <v>93</v>
      </c>
      <c r="G102" s="101"/>
    </row>
    <row r="103" spans="2:8" s="35" customFormat="1" ht="15.75" customHeight="1" x14ac:dyDescent="0.25">
      <c r="B103" s="88"/>
      <c r="C103" s="89"/>
      <c r="D103" s="12" t="s">
        <v>5</v>
      </c>
      <c r="E103" s="12">
        <v>6</v>
      </c>
      <c r="F103" s="90" t="s">
        <v>29</v>
      </c>
      <c r="G103" s="101"/>
    </row>
    <row r="104" spans="2:8" s="35" customFormat="1" ht="15.75" customHeight="1" x14ac:dyDescent="0.25">
      <c r="B104" s="88"/>
      <c r="C104" s="89"/>
      <c r="D104" s="12" t="s">
        <v>4</v>
      </c>
      <c r="E104" s="15">
        <f>(E103*1.38)/1000</f>
        <v>8.2799999999999992E-3</v>
      </c>
      <c r="F104" s="92"/>
      <c r="G104" s="101"/>
    </row>
    <row r="105" spans="2:8" s="35" customFormat="1" ht="15.75" customHeight="1" x14ac:dyDescent="0.25">
      <c r="B105" s="55">
        <v>27</v>
      </c>
      <c r="C105" s="59" t="s">
        <v>43</v>
      </c>
      <c r="D105" s="12" t="s">
        <v>18</v>
      </c>
      <c r="E105" s="14">
        <f>E106</f>
        <v>468.40399999999994</v>
      </c>
      <c r="F105" s="60" t="s">
        <v>6</v>
      </c>
      <c r="G105" s="101"/>
    </row>
    <row r="106" spans="2:8" s="35" customFormat="1" ht="49.5" customHeight="1" x14ac:dyDescent="0.25">
      <c r="B106" s="55">
        <v>28</v>
      </c>
      <c r="C106" s="31" t="s">
        <v>44</v>
      </c>
      <c r="D106" s="12" t="s">
        <v>18</v>
      </c>
      <c r="E106" s="14">
        <f>(334.96*0.6*2)+((334.96-0.9-0.9-0.9)*0.2)</f>
        <v>468.40399999999994</v>
      </c>
      <c r="F106" s="33" t="s">
        <v>48</v>
      </c>
      <c r="G106" s="101"/>
    </row>
    <row r="107" spans="2:8" s="35" customFormat="1" ht="51.75" customHeight="1" x14ac:dyDescent="0.25">
      <c r="B107" s="78" t="s">
        <v>101</v>
      </c>
      <c r="C107" s="64"/>
      <c r="D107" s="64"/>
      <c r="E107" s="64"/>
      <c r="F107" s="65"/>
      <c r="G107" s="101"/>
    </row>
    <row r="108" spans="2:8" s="35" customFormat="1" ht="15.75" customHeight="1" x14ac:dyDescent="0.25">
      <c r="B108" s="55">
        <v>29</v>
      </c>
      <c r="C108" s="13" t="s">
        <v>0</v>
      </c>
      <c r="D108" s="12" t="s">
        <v>1</v>
      </c>
      <c r="E108" s="14">
        <v>4.97</v>
      </c>
      <c r="F108" s="21" t="s">
        <v>2</v>
      </c>
      <c r="G108" s="101" t="s">
        <v>38</v>
      </c>
    </row>
    <row r="109" spans="2:8" s="35" customFormat="1" ht="15.75" customHeight="1" x14ac:dyDescent="0.25">
      <c r="B109" s="88">
        <v>30</v>
      </c>
      <c r="C109" s="89" t="s">
        <v>23</v>
      </c>
      <c r="D109" s="12" t="s">
        <v>1</v>
      </c>
      <c r="E109" s="14">
        <f>49.3*0.85*0.6</f>
        <v>25.142999999999997</v>
      </c>
      <c r="F109" s="53" t="s">
        <v>3</v>
      </c>
      <c r="G109" s="101" t="s">
        <v>38</v>
      </c>
    </row>
    <row r="110" spans="2:8" s="35" customFormat="1" ht="15.75" customHeight="1" x14ac:dyDescent="0.25">
      <c r="B110" s="88"/>
      <c r="C110" s="89"/>
      <c r="D110" s="12" t="s">
        <v>26</v>
      </c>
      <c r="E110" s="36">
        <f>49.3*6</f>
        <v>295.79999999999995</v>
      </c>
      <c r="F110" s="90" t="s">
        <v>96</v>
      </c>
      <c r="G110" s="101"/>
    </row>
    <row r="111" spans="2:8" s="35" customFormat="1" ht="15.75" customHeight="1" x14ac:dyDescent="0.25">
      <c r="B111" s="88"/>
      <c r="C111" s="89"/>
      <c r="D111" s="70" t="s">
        <v>4</v>
      </c>
      <c r="E111" s="68">
        <f>(4.726*E110)/1000</f>
        <v>1.3979507999999998</v>
      </c>
      <c r="F111" s="91"/>
      <c r="G111" s="101"/>
    </row>
    <row r="112" spans="2:8" s="35" customFormat="1" ht="15.75" customHeight="1" x14ac:dyDescent="0.25">
      <c r="B112" s="88"/>
      <c r="C112" s="89"/>
      <c r="D112" s="84"/>
      <c r="E112" s="83"/>
      <c r="F112" s="62" t="s">
        <v>71</v>
      </c>
      <c r="G112" s="97">
        <f>1.578*2*E110/1000</f>
        <v>0.93354479999999984</v>
      </c>
    </row>
    <row r="113" spans="2:8" s="35" customFormat="1" ht="15.75" customHeight="1" x14ac:dyDescent="0.25">
      <c r="B113" s="88"/>
      <c r="C113" s="89"/>
      <c r="D113" s="71"/>
      <c r="E113" s="69"/>
      <c r="F113" s="58" t="s">
        <v>100</v>
      </c>
      <c r="G113" s="97">
        <f>0.314*5*E110/1000</f>
        <v>0.46440599999999993</v>
      </c>
    </row>
    <row r="114" spans="2:8" s="35" customFormat="1" ht="15.75" customHeight="1" x14ac:dyDescent="0.25">
      <c r="B114" s="88"/>
      <c r="C114" s="89"/>
      <c r="D114" s="12" t="s">
        <v>4</v>
      </c>
      <c r="E114" s="15">
        <f>0.488*500/1000</f>
        <v>0.24399999999999999</v>
      </c>
      <c r="F114" s="58" t="s">
        <v>72</v>
      </c>
      <c r="G114" s="105">
        <f>0.79*0.617</f>
        <v>0.48743000000000003</v>
      </c>
    </row>
    <row r="115" spans="2:8" s="35" customFormat="1" ht="15.75" customHeight="1" x14ac:dyDescent="0.25">
      <c r="B115" s="88"/>
      <c r="C115" s="89"/>
      <c r="D115" s="12" t="s">
        <v>4</v>
      </c>
      <c r="E115" s="15">
        <f>504*1.578/1000</f>
        <v>0.79531200000000002</v>
      </c>
      <c r="F115" s="22" t="s">
        <v>73</v>
      </c>
      <c r="G115" s="101"/>
    </row>
    <row r="116" spans="2:8" s="35" customFormat="1" ht="15.75" customHeight="1" x14ac:dyDescent="0.25">
      <c r="B116" s="88"/>
      <c r="C116" s="89"/>
      <c r="D116" s="12" t="s">
        <v>5</v>
      </c>
      <c r="E116" s="12">
        <v>42</v>
      </c>
      <c r="F116" s="66" t="s">
        <v>28</v>
      </c>
      <c r="G116" s="101"/>
    </row>
    <row r="117" spans="2:8" s="35" customFormat="1" ht="15.75" customHeight="1" x14ac:dyDescent="0.25">
      <c r="B117" s="88"/>
      <c r="C117" s="89"/>
      <c r="D117" s="12" t="s">
        <v>4</v>
      </c>
      <c r="E117" s="15">
        <f>(E116*2.1)/1000</f>
        <v>8.8200000000000001E-2</v>
      </c>
      <c r="F117" s="79"/>
      <c r="G117" s="101"/>
    </row>
    <row r="118" spans="2:8" s="35" customFormat="1" ht="15.75" customHeight="1" x14ac:dyDescent="0.25">
      <c r="B118" s="55">
        <v>31</v>
      </c>
      <c r="C118" s="59" t="s">
        <v>43</v>
      </c>
      <c r="D118" s="12" t="s">
        <v>18</v>
      </c>
      <c r="E118" s="14">
        <f>E119</f>
        <v>59.16</v>
      </c>
      <c r="F118" s="58" t="s">
        <v>6</v>
      </c>
      <c r="G118" s="101"/>
    </row>
    <row r="119" spans="2:8" s="35" customFormat="1" ht="48" customHeight="1" x14ac:dyDescent="0.25">
      <c r="B119" s="55">
        <v>32</v>
      </c>
      <c r="C119" s="31" t="s">
        <v>44</v>
      </c>
      <c r="D119" s="12" t="s">
        <v>18</v>
      </c>
      <c r="E119" s="14">
        <f>49.3*0.6*2</f>
        <v>59.16</v>
      </c>
      <c r="F119" s="33" t="s">
        <v>48</v>
      </c>
      <c r="G119" s="101"/>
    </row>
    <row r="120" spans="2:8" s="35" customFormat="1" ht="45.75" customHeight="1" x14ac:dyDescent="0.25">
      <c r="B120" s="78" t="s">
        <v>102</v>
      </c>
      <c r="C120" s="64"/>
      <c r="D120" s="64"/>
      <c r="E120" s="64"/>
      <c r="F120" s="65"/>
      <c r="G120" s="101"/>
    </row>
    <row r="121" spans="2:8" s="35" customFormat="1" ht="15.75" customHeight="1" x14ac:dyDescent="0.25">
      <c r="B121" s="55">
        <v>33</v>
      </c>
      <c r="C121" s="13" t="s">
        <v>0</v>
      </c>
      <c r="D121" s="12" t="s">
        <v>1</v>
      </c>
      <c r="E121" s="14">
        <v>0.66</v>
      </c>
      <c r="F121" s="21" t="s">
        <v>2</v>
      </c>
      <c r="G121" s="101" t="s">
        <v>38</v>
      </c>
    </row>
    <row r="122" spans="2:8" s="35" customFormat="1" ht="15.75" customHeight="1" x14ac:dyDescent="0.25">
      <c r="B122" s="75">
        <v>34</v>
      </c>
      <c r="C122" s="93" t="s">
        <v>23</v>
      </c>
      <c r="D122" s="12" t="s">
        <v>1</v>
      </c>
      <c r="E122" s="14">
        <f>8.7*0.6*0.6</f>
        <v>3.1319999999999997</v>
      </c>
      <c r="F122" s="53" t="s">
        <v>3</v>
      </c>
      <c r="G122" s="101" t="s">
        <v>38</v>
      </c>
    </row>
    <row r="123" spans="2:8" s="35" customFormat="1" ht="15.75" customHeight="1" x14ac:dyDescent="0.25">
      <c r="B123" s="76"/>
      <c r="C123" s="94"/>
      <c r="D123" s="12" t="s">
        <v>26</v>
      </c>
      <c r="E123" s="36">
        <f>8.7*5</f>
        <v>43.5</v>
      </c>
      <c r="F123" s="90" t="s">
        <v>96</v>
      </c>
      <c r="G123" s="101"/>
    </row>
    <row r="124" spans="2:8" s="35" customFormat="1" ht="15.75" customHeight="1" x14ac:dyDescent="0.25">
      <c r="B124" s="76"/>
      <c r="C124" s="94"/>
      <c r="D124" s="70" t="s">
        <v>4</v>
      </c>
      <c r="E124" s="68">
        <f>(4.726*E123)/1000</f>
        <v>0.20558099999999999</v>
      </c>
      <c r="F124" s="91"/>
      <c r="G124" s="101"/>
    </row>
    <row r="125" spans="2:8" s="35" customFormat="1" ht="15.75" customHeight="1" x14ac:dyDescent="0.25">
      <c r="B125" s="76"/>
      <c r="C125" s="94"/>
      <c r="D125" s="84"/>
      <c r="E125" s="83"/>
      <c r="F125" s="62" t="s">
        <v>74</v>
      </c>
      <c r="G125" s="97">
        <f>1.578*2*E123/1000</f>
        <v>0.13728599999999999</v>
      </c>
      <c r="H125" s="98">
        <f>G125+G126</f>
        <v>0.20558100000000001</v>
      </c>
    </row>
    <row r="126" spans="2:8" s="35" customFormat="1" ht="15.75" customHeight="1" x14ac:dyDescent="0.25">
      <c r="B126" s="76"/>
      <c r="C126" s="94"/>
      <c r="D126" s="71"/>
      <c r="E126" s="69"/>
      <c r="F126" s="58" t="s">
        <v>75</v>
      </c>
      <c r="G126" s="97">
        <f>0.314*5*E123/1000</f>
        <v>6.8295000000000008E-2</v>
      </c>
      <c r="H126" s="99"/>
    </row>
    <row r="127" spans="2:8" s="35" customFormat="1" ht="15.75" customHeight="1" x14ac:dyDescent="0.25">
      <c r="B127" s="76"/>
      <c r="C127" s="94"/>
      <c r="D127" s="12" t="s">
        <v>4</v>
      </c>
      <c r="E127" s="15">
        <f>0.333*88/1000</f>
        <v>2.9304000000000004E-2</v>
      </c>
      <c r="F127" s="58" t="s">
        <v>76</v>
      </c>
      <c r="G127" s="97">
        <f>0.54*0.617</f>
        <v>0.33318000000000003</v>
      </c>
    </row>
    <row r="128" spans="2:8" s="35" customFormat="1" ht="15.75" customHeight="1" x14ac:dyDescent="0.25">
      <c r="B128" s="76"/>
      <c r="C128" s="94"/>
      <c r="D128" s="12" t="s">
        <v>4</v>
      </c>
      <c r="E128" s="15">
        <f>1.578*84/1000</f>
        <v>0.132552</v>
      </c>
      <c r="F128" s="22" t="s">
        <v>77</v>
      </c>
      <c r="G128" s="101"/>
    </row>
    <row r="129" spans="2:12" s="35" customFormat="1" ht="15.75" customHeight="1" x14ac:dyDescent="0.25">
      <c r="B129" s="76"/>
      <c r="C129" s="94"/>
      <c r="D129" s="12" t="s">
        <v>5</v>
      </c>
      <c r="E129" s="12">
        <v>4</v>
      </c>
      <c r="F129" s="66" t="s">
        <v>28</v>
      </c>
      <c r="G129" s="101"/>
    </row>
    <row r="130" spans="2:12" s="35" customFormat="1" ht="15.75" customHeight="1" x14ac:dyDescent="0.25">
      <c r="B130" s="77"/>
      <c r="C130" s="95"/>
      <c r="D130" s="12" t="s">
        <v>4</v>
      </c>
      <c r="E130" s="15">
        <f>(E129*2.1)/1000</f>
        <v>8.4000000000000012E-3</v>
      </c>
      <c r="F130" s="79"/>
      <c r="G130" s="101"/>
    </row>
    <row r="131" spans="2:12" s="35" customFormat="1" ht="15.75" customHeight="1" x14ac:dyDescent="0.25">
      <c r="B131" s="55">
        <v>35</v>
      </c>
      <c r="C131" s="59" t="s">
        <v>43</v>
      </c>
      <c r="D131" s="12" t="s">
        <v>18</v>
      </c>
      <c r="E131" s="14">
        <f>E132</f>
        <v>10.44</v>
      </c>
      <c r="F131" s="22" t="s">
        <v>6</v>
      </c>
      <c r="G131" s="101"/>
    </row>
    <row r="132" spans="2:12" s="35" customFormat="1" ht="47.25" customHeight="1" x14ac:dyDescent="0.25">
      <c r="B132" s="55">
        <v>36</v>
      </c>
      <c r="C132" s="31" t="s">
        <v>44</v>
      </c>
      <c r="D132" s="12" t="s">
        <v>18</v>
      </c>
      <c r="E132" s="14">
        <f>8.7*0.6*2</f>
        <v>10.44</v>
      </c>
      <c r="F132" s="33" t="s">
        <v>48</v>
      </c>
      <c r="G132" s="101"/>
    </row>
    <row r="133" spans="2:12" s="35" customFormat="1" ht="45.75" customHeight="1" x14ac:dyDescent="0.25">
      <c r="B133" s="78" t="s">
        <v>103</v>
      </c>
      <c r="C133" s="64"/>
      <c r="D133" s="64"/>
      <c r="E133" s="64"/>
      <c r="F133" s="65"/>
      <c r="G133" s="101"/>
      <c r="J133" s="40">
        <f>E134+E121+E108+E88</f>
        <v>28.9</v>
      </c>
    </row>
    <row r="134" spans="2:12" s="35" customFormat="1" ht="15.75" customHeight="1" x14ac:dyDescent="0.25">
      <c r="B134" s="55">
        <v>37</v>
      </c>
      <c r="C134" s="13" t="s">
        <v>0</v>
      </c>
      <c r="D134" s="12" t="s">
        <v>1</v>
      </c>
      <c r="E134" s="14">
        <v>0.97</v>
      </c>
      <c r="F134" s="21" t="s">
        <v>2</v>
      </c>
      <c r="G134" s="101"/>
      <c r="J134" s="40">
        <f>E135+E122+E109+E89</f>
        <v>141.90176</v>
      </c>
    </row>
    <row r="135" spans="2:12" s="35" customFormat="1" ht="15.75" customHeight="1" x14ac:dyDescent="0.25">
      <c r="B135" s="75">
        <v>38</v>
      </c>
      <c r="C135" s="93" t="s">
        <v>23</v>
      </c>
      <c r="D135" s="12" t="s">
        <v>1</v>
      </c>
      <c r="E135" s="12">
        <f>15*0.5*0.6</f>
        <v>4.5</v>
      </c>
      <c r="F135" s="53" t="s">
        <v>3</v>
      </c>
      <c r="G135" s="101"/>
      <c r="J135" s="40">
        <f>E136+E123+E110+E90</f>
        <v>1404.1799999999998</v>
      </c>
    </row>
    <row r="136" spans="2:12" s="35" customFormat="1" ht="15.75" customHeight="1" x14ac:dyDescent="0.25">
      <c r="B136" s="76"/>
      <c r="C136" s="94"/>
      <c r="D136" s="12" t="s">
        <v>26</v>
      </c>
      <c r="E136" s="36">
        <f>15*4</f>
        <v>60</v>
      </c>
      <c r="F136" s="90" t="s">
        <v>96</v>
      </c>
      <c r="G136" s="101"/>
      <c r="J136" s="41">
        <f>E137+E124+E111+E91</f>
        <v>6.6361546799999989</v>
      </c>
      <c r="K136" s="41">
        <f>1404.18*4.726/1000</f>
        <v>6.6361546800000006</v>
      </c>
    </row>
    <row r="137" spans="2:12" s="35" customFormat="1" ht="15.75" customHeight="1" x14ac:dyDescent="0.25">
      <c r="B137" s="76"/>
      <c r="C137" s="94"/>
      <c r="D137" s="70" t="s">
        <v>4</v>
      </c>
      <c r="E137" s="68">
        <f>(4.726*E136)/1000</f>
        <v>0.28355999999999998</v>
      </c>
      <c r="F137" s="91"/>
      <c r="G137" s="101"/>
      <c r="J137" s="40">
        <f>E94</f>
        <v>334.96</v>
      </c>
    </row>
    <row r="138" spans="2:12" s="35" customFormat="1" ht="15.75" customHeight="1" x14ac:dyDescent="0.25">
      <c r="B138" s="76"/>
      <c r="C138" s="94"/>
      <c r="D138" s="84"/>
      <c r="E138" s="83"/>
      <c r="F138" s="62" t="s">
        <v>78</v>
      </c>
      <c r="G138" s="97">
        <f>1.578*2*E136/1000</f>
        <v>0.18936</v>
      </c>
      <c r="H138" s="98">
        <f>G138+G139</f>
        <v>0.28356000000000003</v>
      </c>
      <c r="J138" s="41">
        <f>E95</f>
        <v>1.79069616</v>
      </c>
      <c r="K138" s="41">
        <f>5.346*334.96/1000</f>
        <v>1.79069616</v>
      </c>
    </row>
    <row r="139" spans="2:12" s="35" customFormat="1" ht="15.75" customHeight="1" x14ac:dyDescent="0.25">
      <c r="B139" s="76"/>
      <c r="C139" s="94"/>
      <c r="D139" s="71"/>
      <c r="E139" s="69"/>
      <c r="F139" s="58" t="s">
        <v>79</v>
      </c>
      <c r="G139" s="97">
        <f>0.314*5*E136/1000</f>
        <v>9.4200000000000006E-2</v>
      </c>
      <c r="H139" s="99"/>
      <c r="J139" s="40">
        <f>E98</f>
        <v>325.45999999999998</v>
      </c>
    </row>
    <row r="140" spans="2:12" s="35" customFormat="1" ht="15.75" customHeight="1" x14ac:dyDescent="0.25">
      <c r="B140" s="76"/>
      <c r="C140" s="94"/>
      <c r="D140" s="12" t="s">
        <v>4</v>
      </c>
      <c r="E140" s="15">
        <f>0.272*156/1000</f>
        <v>4.2432000000000004E-2</v>
      </c>
      <c r="F140" s="58" t="s">
        <v>80</v>
      </c>
      <c r="G140" s="101"/>
      <c r="J140" s="41">
        <f>E99</f>
        <v>0.62651049999999997</v>
      </c>
      <c r="K140" s="41">
        <f>325.46*1.925/1000</f>
        <v>0.62651049999999997</v>
      </c>
    </row>
    <row r="141" spans="2:12" s="35" customFormat="1" ht="15.75" customHeight="1" x14ac:dyDescent="0.25">
      <c r="B141" s="76"/>
      <c r="C141" s="94"/>
      <c r="D141" s="12" t="s">
        <v>4</v>
      </c>
      <c r="E141" s="15">
        <f>187*1.578/1000</f>
        <v>0.29508600000000001</v>
      </c>
      <c r="F141" s="22" t="s">
        <v>94</v>
      </c>
      <c r="G141" s="101"/>
      <c r="J141" s="41">
        <f>E101+E140</f>
        <v>0.96723200000000009</v>
      </c>
      <c r="K141" s="35">
        <f>156+3400</f>
        <v>3556</v>
      </c>
      <c r="L141" s="41">
        <f>3556*0.272/1000</f>
        <v>0.96723200000000009</v>
      </c>
    </row>
    <row r="142" spans="2:12" s="35" customFormat="1" ht="15.75" customHeight="1" x14ac:dyDescent="0.25">
      <c r="B142" s="76"/>
      <c r="C142" s="94"/>
      <c r="D142" s="12" t="s">
        <v>5</v>
      </c>
      <c r="E142" s="12">
        <v>2</v>
      </c>
      <c r="F142" s="66" t="s">
        <v>28</v>
      </c>
      <c r="G142" s="101"/>
      <c r="J142" s="41"/>
      <c r="L142" s="41"/>
    </row>
    <row r="143" spans="2:12" s="35" customFormat="1" ht="15.75" customHeight="1" x14ac:dyDescent="0.25">
      <c r="B143" s="77"/>
      <c r="C143" s="95"/>
      <c r="D143" s="12" t="s">
        <v>4</v>
      </c>
      <c r="E143" s="15">
        <f>(E142*2.1)/1000</f>
        <v>4.2000000000000006E-3</v>
      </c>
      <c r="F143" s="79"/>
      <c r="G143" s="101"/>
      <c r="J143" s="41"/>
      <c r="L143" s="41"/>
    </row>
    <row r="144" spans="2:12" s="35" customFormat="1" ht="15.75" customHeight="1" x14ac:dyDescent="0.25">
      <c r="B144" s="55">
        <v>39</v>
      </c>
      <c r="C144" s="59" t="s">
        <v>43</v>
      </c>
      <c r="D144" s="54" t="s">
        <v>18</v>
      </c>
      <c r="E144" s="37">
        <f>E145</f>
        <v>18</v>
      </c>
      <c r="F144" s="57" t="s">
        <v>6</v>
      </c>
      <c r="G144" s="101"/>
      <c r="J144" s="41">
        <f>E102+E115+E128+E141</f>
        <v>5.5166880000000011</v>
      </c>
      <c r="K144" s="35">
        <f>187+84+504+2721</f>
        <v>3496</v>
      </c>
      <c r="L144" s="41">
        <f>3496*1.578/1000</f>
        <v>5.5166880000000003</v>
      </c>
    </row>
    <row r="145" spans="2:12" s="35" customFormat="1" ht="48" customHeight="1" thickBot="1" x14ac:dyDescent="0.3">
      <c r="B145" s="23">
        <v>40</v>
      </c>
      <c r="C145" s="38" t="s">
        <v>44</v>
      </c>
      <c r="D145" s="24" t="s">
        <v>18</v>
      </c>
      <c r="E145" s="25">
        <f>15*0.6*2</f>
        <v>18</v>
      </c>
      <c r="F145" s="39" t="s">
        <v>48</v>
      </c>
      <c r="G145" s="101"/>
      <c r="J145" s="100">
        <f>E103</f>
        <v>6</v>
      </c>
      <c r="K145" s="41">
        <f>E104</f>
        <v>8.2799999999999992E-3</v>
      </c>
      <c r="L145" s="41">
        <f>6*1.38/1000</f>
        <v>8.2799999999999992E-3</v>
      </c>
    </row>
    <row r="146" spans="2:12" ht="16.5" thickTop="1" x14ac:dyDescent="0.25">
      <c r="J146" s="10">
        <f>E116+E129+E142</f>
        <v>48</v>
      </c>
      <c r="K146" s="16">
        <f>E143+E130+E117</f>
        <v>0.1008</v>
      </c>
      <c r="L146" s="16">
        <f>48*2.1/1000</f>
        <v>0.10080000000000001</v>
      </c>
    </row>
  </sheetData>
  <mergeCells count="104">
    <mergeCell ref="H138:H139"/>
    <mergeCell ref="F70:F71"/>
    <mergeCell ref="F72:F73"/>
    <mergeCell ref="F142:F143"/>
    <mergeCell ref="C135:C143"/>
    <mergeCell ref="H92:H93"/>
    <mergeCell ref="H96:H97"/>
    <mergeCell ref="H125:H126"/>
    <mergeCell ref="F129:F130"/>
    <mergeCell ref="C122:C130"/>
    <mergeCell ref="B133:F133"/>
    <mergeCell ref="F136:F137"/>
    <mergeCell ref="D137:D139"/>
    <mergeCell ref="E137:E139"/>
    <mergeCell ref="B135:B143"/>
    <mergeCell ref="B120:F120"/>
    <mergeCell ref="F123:F124"/>
    <mergeCell ref="D124:D126"/>
    <mergeCell ref="E124:E126"/>
    <mergeCell ref="B122:B130"/>
    <mergeCell ref="B109:B117"/>
    <mergeCell ref="C109:C117"/>
    <mergeCell ref="F110:F111"/>
    <mergeCell ref="D111:D113"/>
    <mergeCell ref="E111:E113"/>
    <mergeCell ref="F116:F117"/>
    <mergeCell ref="B78:B84"/>
    <mergeCell ref="C78:C84"/>
    <mergeCell ref="B107:F107"/>
    <mergeCell ref="E91:E93"/>
    <mergeCell ref="D91:D93"/>
    <mergeCell ref="D95:D97"/>
    <mergeCell ref="E95:E97"/>
    <mergeCell ref="D99:D100"/>
    <mergeCell ref="E99:E100"/>
    <mergeCell ref="B89:B104"/>
    <mergeCell ref="C89:C104"/>
    <mergeCell ref="F90:F91"/>
    <mergeCell ref="F94:F95"/>
    <mergeCell ref="F98:F99"/>
    <mergeCell ref="F103:F104"/>
    <mergeCell ref="E66:E67"/>
    <mergeCell ref="D66:D67"/>
    <mergeCell ref="D80:D81"/>
    <mergeCell ref="E80:E81"/>
    <mergeCell ref="D83:D84"/>
    <mergeCell ref="E83:E84"/>
    <mergeCell ref="C31:C40"/>
    <mergeCell ref="E47:E48"/>
    <mergeCell ref="D47:D48"/>
    <mergeCell ref="E50:E51"/>
    <mergeCell ref="D50:D51"/>
    <mergeCell ref="D22:D23"/>
    <mergeCell ref="B20:B26"/>
    <mergeCell ref="C20:C26"/>
    <mergeCell ref="D25:D26"/>
    <mergeCell ref="E25:E26"/>
    <mergeCell ref="B2:F2"/>
    <mergeCell ref="B3:F3"/>
    <mergeCell ref="B4:F4"/>
    <mergeCell ref="B45:B56"/>
    <mergeCell ref="F65:F66"/>
    <mergeCell ref="C61:C73"/>
    <mergeCell ref="B61:B73"/>
    <mergeCell ref="E33:E34"/>
    <mergeCell ref="D33:D34"/>
    <mergeCell ref="E36:E37"/>
    <mergeCell ref="D36:D37"/>
    <mergeCell ref="D39:D40"/>
    <mergeCell ref="E39:E40"/>
    <mergeCell ref="B31:B40"/>
    <mergeCell ref="F13:F14"/>
    <mergeCell ref="F21:F22"/>
    <mergeCell ref="F82:F83"/>
    <mergeCell ref="B87:F87"/>
    <mergeCell ref="F62:F63"/>
    <mergeCell ref="F79:F80"/>
    <mergeCell ref="F46:F47"/>
    <mergeCell ref="F52:F53"/>
    <mergeCell ref="F49:F50"/>
    <mergeCell ref="C45:C56"/>
    <mergeCell ref="B76:F76"/>
    <mergeCell ref="B59:F59"/>
    <mergeCell ref="F55:F56"/>
    <mergeCell ref="E53:E54"/>
    <mergeCell ref="D53:D54"/>
    <mergeCell ref="E63:E64"/>
    <mergeCell ref="D63:D64"/>
    <mergeCell ref="B7:F7"/>
    <mergeCell ref="F10:F11"/>
    <mergeCell ref="B18:F18"/>
    <mergeCell ref="B29:F29"/>
    <mergeCell ref="B43:F43"/>
    <mergeCell ref="F24:F25"/>
    <mergeCell ref="F32:F33"/>
    <mergeCell ref="F38:F39"/>
    <mergeCell ref="F35:F36"/>
    <mergeCell ref="E11:E12"/>
    <mergeCell ref="D11:D12"/>
    <mergeCell ref="D14:D15"/>
    <mergeCell ref="E14:E15"/>
    <mergeCell ref="C9:C15"/>
    <mergeCell ref="B9:B15"/>
    <mergeCell ref="E22:E23"/>
  </mergeCells>
  <pageMargins left="0.7" right="0.7" top="0.75" bottom="0.75" header="0.3" footer="0.3"/>
  <pageSetup paperSize="9" orientation="portrait" r:id="rId1"/>
  <ignoredErrors>
    <ignoredError sqref="E35:E36 E50 E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0A33-0ADC-420B-8C43-74F94980FE72}">
  <dimension ref="A3:AB96"/>
  <sheetViews>
    <sheetView topLeftCell="A52" zoomScale="85" zoomScaleNormal="85" workbookViewId="0">
      <selection activeCell="F97" sqref="F97"/>
    </sheetView>
  </sheetViews>
  <sheetFormatPr defaultRowHeight="15" x14ac:dyDescent="0.25"/>
  <cols>
    <col min="2" max="2" width="20.7109375" customWidth="1"/>
    <col min="3" max="5" width="9.140625" style="1"/>
    <col min="6" max="11" width="9.140625" style="3"/>
    <col min="12" max="12" width="17.7109375" customWidth="1"/>
    <col min="13" max="15" width="9.140625" style="1"/>
    <col min="16" max="16" width="9.140625" style="3"/>
    <col min="18" max="18" width="21" customWidth="1"/>
    <col min="19" max="21" width="9.140625" style="1"/>
    <col min="24" max="24" width="18.85546875" customWidth="1"/>
    <col min="25" max="27" width="9.140625" style="1"/>
    <col min="28" max="28" width="9.140625" style="3"/>
  </cols>
  <sheetData>
    <row r="3" spans="2:28" x14ac:dyDescent="0.25">
      <c r="V3" s="3"/>
    </row>
    <row r="4" spans="2:28" x14ac:dyDescent="0.25">
      <c r="V4" s="3"/>
    </row>
    <row r="5" spans="2:28" x14ac:dyDescent="0.25">
      <c r="B5" t="s">
        <v>9</v>
      </c>
      <c r="C5" s="1">
        <f>5.75</f>
        <v>5.75</v>
      </c>
      <c r="D5" s="1">
        <v>0.5</v>
      </c>
      <c r="E5" s="1">
        <v>0.6</v>
      </c>
      <c r="F5" s="3">
        <f t="shared" ref="F5:F11" si="0">C5*D5*E5</f>
        <v>1.7249999999999999</v>
      </c>
      <c r="H5" s="3">
        <v>0.13</v>
      </c>
      <c r="I5" s="3">
        <f>0.2</f>
        <v>0.2</v>
      </c>
      <c r="J5" s="3">
        <f>C5*H5*I5</f>
        <v>0.14950000000000002</v>
      </c>
      <c r="L5" t="s">
        <v>10</v>
      </c>
      <c r="M5" s="1">
        <f>5.175-0.825</f>
        <v>4.3499999999999996</v>
      </c>
      <c r="N5" s="1">
        <f>0.18+0.67</f>
        <v>0.85000000000000009</v>
      </c>
      <c r="O5" s="1">
        <v>0.6</v>
      </c>
      <c r="P5" s="3">
        <f>M5*N5*O5</f>
        <v>2.2185000000000001</v>
      </c>
      <c r="R5" t="s">
        <v>11</v>
      </c>
      <c r="S5" s="1">
        <v>4.3499999999999996</v>
      </c>
      <c r="T5" s="1">
        <v>0.6</v>
      </c>
      <c r="U5" s="1">
        <v>0.6</v>
      </c>
      <c r="V5" s="3">
        <f>S5*T5*U5</f>
        <v>1.5659999999999998</v>
      </c>
      <c r="X5" t="s">
        <v>12</v>
      </c>
      <c r="Y5" s="1">
        <v>2.15</v>
      </c>
      <c r="Z5" s="1">
        <v>0.5</v>
      </c>
      <c r="AA5" s="1">
        <v>0.6</v>
      </c>
      <c r="AB5" s="3">
        <f t="shared" ref="AB5:AB10" si="1">Y5*Z5*AA5</f>
        <v>0.64499999999999991</v>
      </c>
    </row>
    <row r="6" spans="2:28" x14ac:dyDescent="0.25">
      <c r="C6" s="1">
        <v>2.85</v>
      </c>
      <c r="D6" s="1">
        <v>0.5</v>
      </c>
      <c r="E6" s="1">
        <v>0.6</v>
      </c>
      <c r="F6" s="3">
        <f t="shared" si="0"/>
        <v>0.85499999999999998</v>
      </c>
      <c r="H6" s="3">
        <v>0.13</v>
      </c>
      <c r="I6" s="3">
        <f t="shared" ref="I6:I69" si="2">0.2</f>
        <v>0.2</v>
      </c>
      <c r="J6" s="3">
        <f t="shared" ref="J6:J69" si="3">C6*H6*I6</f>
        <v>7.4100000000000013E-2</v>
      </c>
      <c r="M6" s="1">
        <f>5.175-0.825</f>
        <v>4.3499999999999996</v>
      </c>
      <c r="N6" s="1">
        <f>0.18+0.67</f>
        <v>0.85000000000000009</v>
      </c>
      <c r="O6" s="1">
        <v>0.6</v>
      </c>
      <c r="P6" s="3">
        <f t="shared" ref="P6:P12" si="4">M6*N6*O6</f>
        <v>2.2185000000000001</v>
      </c>
      <c r="S6" s="1">
        <v>4.3499999999999996</v>
      </c>
      <c r="T6" s="1">
        <v>0.6</v>
      </c>
      <c r="U6" s="1">
        <v>0.6</v>
      </c>
      <c r="V6" s="3">
        <f>S6*T6*U6</f>
        <v>1.5659999999999998</v>
      </c>
      <c r="Y6" s="1">
        <v>2.15</v>
      </c>
      <c r="Z6" s="1">
        <v>0.5</v>
      </c>
      <c r="AA6" s="1">
        <v>0.6</v>
      </c>
      <c r="AB6" s="3">
        <f t="shared" si="1"/>
        <v>0.64499999999999991</v>
      </c>
    </row>
    <row r="7" spans="2:28" x14ac:dyDescent="0.25">
      <c r="C7" s="1">
        <v>4.4749999999999996</v>
      </c>
      <c r="D7" s="1">
        <v>0.5</v>
      </c>
      <c r="E7" s="1">
        <v>0.6</v>
      </c>
      <c r="F7" s="3">
        <f t="shared" si="0"/>
        <v>1.3424999999999998</v>
      </c>
      <c r="H7" s="3">
        <v>0.13</v>
      </c>
      <c r="I7" s="3">
        <f t="shared" si="2"/>
        <v>0.2</v>
      </c>
      <c r="J7" s="3">
        <f t="shared" si="3"/>
        <v>0.11635000000000001</v>
      </c>
      <c r="M7" s="1">
        <v>4.3499999999999996</v>
      </c>
      <c r="N7" s="1">
        <f>0.18+0.67</f>
        <v>0.85000000000000009</v>
      </c>
      <c r="O7" s="1">
        <v>0.6</v>
      </c>
      <c r="P7" s="3">
        <f t="shared" si="4"/>
        <v>2.2185000000000001</v>
      </c>
      <c r="S7" s="18">
        <f>SUM(S5:S6)</f>
        <v>8.6999999999999993</v>
      </c>
      <c r="V7" s="4">
        <f>SUM(V5:V6)</f>
        <v>3.1319999999999997</v>
      </c>
      <c r="Y7" s="1">
        <v>2.15</v>
      </c>
      <c r="Z7" s="1">
        <v>0.5</v>
      </c>
      <c r="AA7" s="1">
        <v>0.6</v>
      </c>
      <c r="AB7" s="3">
        <f t="shared" si="1"/>
        <v>0.64499999999999991</v>
      </c>
    </row>
    <row r="8" spans="2:28" x14ac:dyDescent="0.25">
      <c r="C8" s="1">
        <v>3.7749999999999999</v>
      </c>
      <c r="D8" s="1">
        <v>0.5</v>
      </c>
      <c r="E8" s="1">
        <v>0.6</v>
      </c>
      <c r="F8" s="3">
        <f t="shared" si="0"/>
        <v>1.1324999999999998</v>
      </c>
      <c r="H8" s="3">
        <v>0.13</v>
      </c>
      <c r="I8" s="3">
        <f t="shared" si="2"/>
        <v>0.2</v>
      </c>
      <c r="J8" s="3">
        <f t="shared" si="3"/>
        <v>9.8150000000000015E-2</v>
      </c>
      <c r="M8" s="1">
        <v>4.3499999999999996</v>
      </c>
      <c r="N8" s="1">
        <f>0.18+0.67</f>
        <v>0.85000000000000009</v>
      </c>
      <c r="O8" s="1">
        <v>0.6</v>
      </c>
      <c r="P8" s="3">
        <f t="shared" si="4"/>
        <v>2.2185000000000001</v>
      </c>
      <c r="V8" s="4"/>
      <c r="Y8" s="1">
        <v>2.85</v>
      </c>
      <c r="Z8" s="1">
        <v>0.5</v>
      </c>
      <c r="AA8" s="1">
        <v>0.6</v>
      </c>
      <c r="AB8" s="3">
        <f t="shared" si="1"/>
        <v>0.85499999999999998</v>
      </c>
    </row>
    <row r="9" spans="2:28" x14ac:dyDescent="0.25">
      <c r="C9" s="1">
        <v>4.3499999999999996</v>
      </c>
      <c r="D9" s="1">
        <v>0.5</v>
      </c>
      <c r="E9" s="1">
        <v>0.6</v>
      </c>
      <c r="F9" s="3">
        <f t="shared" si="0"/>
        <v>1.3049999999999999</v>
      </c>
      <c r="H9" s="3">
        <v>0.13</v>
      </c>
      <c r="I9" s="3">
        <f t="shared" si="2"/>
        <v>0.2</v>
      </c>
      <c r="J9" s="3">
        <f t="shared" si="3"/>
        <v>0.11310000000000001</v>
      </c>
      <c r="M9" s="1">
        <f>6-0.825-0.825</f>
        <v>4.3499999999999996</v>
      </c>
      <c r="N9" s="1">
        <f t="shared" ref="N9:N14" si="5">0.18+0.67</f>
        <v>0.85000000000000009</v>
      </c>
      <c r="O9" s="1">
        <v>0.6</v>
      </c>
      <c r="P9" s="3">
        <f t="shared" si="4"/>
        <v>2.2185000000000001</v>
      </c>
      <c r="V9" s="3"/>
      <c r="Y9" s="1">
        <v>2.85</v>
      </c>
      <c r="Z9" s="1">
        <v>0.5</v>
      </c>
      <c r="AA9" s="1">
        <v>0.6</v>
      </c>
      <c r="AB9" s="3">
        <f t="shared" si="1"/>
        <v>0.85499999999999998</v>
      </c>
    </row>
    <row r="10" spans="2:28" x14ac:dyDescent="0.25">
      <c r="C10" s="1">
        <v>4.3499999999999996</v>
      </c>
      <c r="D10" s="1">
        <v>0.5</v>
      </c>
      <c r="E10" s="1">
        <v>0.6</v>
      </c>
      <c r="F10" s="3">
        <f t="shared" si="0"/>
        <v>1.3049999999999999</v>
      </c>
      <c r="H10" s="3">
        <v>0.13</v>
      </c>
      <c r="I10" s="3">
        <f t="shared" si="2"/>
        <v>0.2</v>
      </c>
      <c r="J10" s="3">
        <f t="shared" si="3"/>
        <v>0.11310000000000001</v>
      </c>
      <c r="M10" s="1">
        <f>6-0.825-0.825</f>
        <v>4.3499999999999996</v>
      </c>
      <c r="N10" s="1">
        <f t="shared" si="5"/>
        <v>0.85000000000000009</v>
      </c>
      <c r="O10" s="1">
        <v>0.6</v>
      </c>
      <c r="P10" s="3">
        <f t="shared" si="4"/>
        <v>2.2185000000000001</v>
      </c>
      <c r="S10" s="19"/>
      <c r="V10" s="3"/>
      <c r="Y10" s="1">
        <v>2.85</v>
      </c>
      <c r="Z10" s="1">
        <v>0.5</v>
      </c>
      <c r="AA10" s="1">
        <v>0.6</v>
      </c>
      <c r="AB10" s="3">
        <f t="shared" si="1"/>
        <v>0.85499999999999998</v>
      </c>
    </row>
    <row r="11" spans="2:28" x14ac:dyDescent="0.25">
      <c r="C11" s="1">
        <v>4.3499999999999996</v>
      </c>
      <c r="D11" s="1">
        <v>0.5</v>
      </c>
      <c r="E11" s="1">
        <v>0.6</v>
      </c>
      <c r="F11" s="3">
        <f t="shared" si="0"/>
        <v>1.3049999999999999</v>
      </c>
      <c r="H11" s="3">
        <v>0.13</v>
      </c>
      <c r="I11" s="3">
        <f t="shared" si="2"/>
        <v>0.2</v>
      </c>
      <c r="J11" s="3">
        <f t="shared" si="3"/>
        <v>0.11310000000000001</v>
      </c>
      <c r="M11" s="1">
        <v>5.75</v>
      </c>
      <c r="N11" s="1">
        <f t="shared" si="5"/>
        <v>0.85000000000000009</v>
      </c>
      <c r="O11" s="1">
        <v>0.6</v>
      </c>
      <c r="P11" s="3">
        <f t="shared" si="4"/>
        <v>2.9325000000000001</v>
      </c>
      <c r="V11" s="3"/>
      <c r="Y11" s="18">
        <f>SUM(Y5:Y10)</f>
        <v>14.999999999999998</v>
      </c>
      <c r="AB11" s="4">
        <f>SUM(AB5:AB10)</f>
        <v>4.5</v>
      </c>
    </row>
    <row r="12" spans="2:28" x14ac:dyDescent="0.25">
      <c r="C12" s="1">
        <v>4.3499999999999996</v>
      </c>
      <c r="D12" s="1">
        <v>0.5</v>
      </c>
      <c r="E12" s="1">
        <v>0.6</v>
      </c>
      <c r="F12" s="3">
        <f t="shared" ref="F12:F14" si="6">C12*D12*E12</f>
        <v>1.3049999999999999</v>
      </c>
      <c r="H12" s="3">
        <v>0.13</v>
      </c>
      <c r="I12" s="3">
        <f t="shared" si="2"/>
        <v>0.2</v>
      </c>
      <c r="J12" s="3">
        <f t="shared" si="3"/>
        <v>0.11310000000000001</v>
      </c>
      <c r="M12" s="1">
        <v>5.75</v>
      </c>
      <c r="N12" s="1">
        <f t="shared" si="5"/>
        <v>0.85000000000000009</v>
      </c>
      <c r="O12" s="1">
        <v>0.6</v>
      </c>
      <c r="P12" s="3">
        <f t="shared" si="4"/>
        <v>2.9325000000000001</v>
      </c>
      <c r="V12" s="3"/>
      <c r="AB12" s="4"/>
    </row>
    <row r="13" spans="2:28" x14ac:dyDescent="0.25">
      <c r="C13" s="1">
        <v>4.3499999999999996</v>
      </c>
      <c r="D13" s="1">
        <v>0.5</v>
      </c>
      <c r="E13" s="1">
        <v>0.6</v>
      </c>
      <c r="F13" s="3">
        <f t="shared" si="6"/>
        <v>1.3049999999999999</v>
      </c>
      <c r="H13" s="3">
        <v>0.13</v>
      </c>
      <c r="I13" s="3">
        <f t="shared" si="2"/>
        <v>0.2</v>
      </c>
      <c r="J13" s="3">
        <f t="shared" si="3"/>
        <v>0.11310000000000001</v>
      </c>
      <c r="M13" s="1">
        <v>5.85</v>
      </c>
      <c r="N13" s="1">
        <f t="shared" si="5"/>
        <v>0.85000000000000009</v>
      </c>
      <c r="O13" s="1">
        <v>0.6</v>
      </c>
      <c r="P13" s="3">
        <f t="shared" ref="P13:P14" si="7">M13*N13*O13</f>
        <v>2.9834999999999998</v>
      </c>
      <c r="V13" s="3"/>
    </row>
    <row r="14" spans="2:28" x14ac:dyDescent="0.25">
      <c r="C14" s="1">
        <v>4.3499999999999996</v>
      </c>
      <c r="D14" s="1">
        <v>0.5</v>
      </c>
      <c r="E14" s="1">
        <v>0.6</v>
      </c>
      <c r="F14" s="3">
        <f t="shared" si="6"/>
        <v>1.3049999999999999</v>
      </c>
      <c r="H14" s="3">
        <v>0.13</v>
      </c>
      <c r="I14" s="3">
        <f t="shared" si="2"/>
        <v>0.2</v>
      </c>
      <c r="J14" s="3">
        <f t="shared" si="3"/>
        <v>0.11310000000000001</v>
      </c>
      <c r="M14" s="1">
        <v>5.85</v>
      </c>
      <c r="N14" s="1">
        <f t="shared" si="5"/>
        <v>0.85000000000000009</v>
      </c>
      <c r="O14" s="1">
        <v>0.6</v>
      </c>
      <c r="P14" s="3">
        <f t="shared" si="7"/>
        <v>2.9834999999999998</v>
      </c>
      <c r="V14" s="3"/>
    </row>
    <row r="15" spans="2:28" x14ac:dyDescent="0.25">
      <c r="C15" s="1">
        <v>4.3499999999999996</v>
      </c>
      <c r="D15" s="1">
        <v>0.5</v>
      </c>
      <c r="E15" s="1">
        <v>0.6</v>
      </c>
      <c r="F15" s="3">
        <f t="shared" ref="F15" si="8">C15*D15*E15</f>
        <v>1.3049999999999999</v>
      </c>
      <c r="H15" s="3">
        <v>0.13</v>
      </c>
      <c r="I15" s="3">
        <f t="shared" si="2"/>
        <v>0.2</v>
      </c>
      <c r="J15" s="3">
        <f t="shared" si="3"/>
        <v>0.11310000000000001</v>
      </c>
      <c r="M15" s="18">
        <f>SUM(M5:M14)</f>
        <v>49.300000000000004</v>
      </c>
      <c r="P15" s="4">
        <f>SUM(P5:P14)</f>
        <v>25.143000000000001</v>
      </c>
      <c r="V15" s="3"/>
    </row>
    <row r="16" spans="2:28" x14ac:dyDescent="0.25">
      <c r="C16" s="1">
        <v>4.3499999999999996</v>
      </c>
      <c r="D16" s="1">
        <v>0.5</v>
      </c>
      <c r="E16" s="1">
        <v>0.6</v>
      </c>
      <c r="F16" s="3">
        <f t="shared" ref="F16" si="9">C16*D16*E16</f>
        <v>1.3049999999999999</v>
      </c>
      <c r="H16" s="3">
        <v>0.13</v>
      </c>
      <c r="I16" s="3">
        <f t="shared" si="2"/>
        <v>0.2</v>
      </c>
      <c r="J16" s="3">
        <f t="shared" si="3"/>
        <v>0.11310000000000001</v>
      </c>
      <c r="P16" s="4"/>
      <c r="V16" s="3"/>
    </row>
    <row r="17" spans="3:22" x14ac:dyDescent="0.25">
      <c r="C17" s="1">
        <v>4.3499999999999996</v>
      </c>
      <c r="D17" s="1">
        <v>0.5</v>
      </c>
      <c r="E17" s="1">
        <v>0.6</v>
      </c>
      <c r="F17" s="3">
        <f t="shared" ref="F17:F18" si="10">C17*D17*E17</f>
        <v>1.3049999999999999</v>
      </c>
      <c r="H17" s="3">
        <v>0.13</v>
      </c>
      <c r="I17" s="3">
        <f t="shared" si="2"/>
        <v>0.2</v>
      </c>
      <c r="J17" s="3">
        <f t="shared" si="3"/>
        <v>0.11310000000000001</v>
      </c>
      <c r="V17" s="3"/>
    </row>
    <row r="18" spans="3:22" x14ac:dyDescent="0.25">
      <c r="C18" s="1">
        <v>4.3499999999999996</v>
      </c>
      <c r="D18" s="1">
        <v>0.5</v>
      </c>
      <c r="E18" s="1">
        <v>0.6</v>
      </c>
      <c r="F18" s="3">
        <f t="shared" si="10"/>
        <v>1.3049999999999999</v>
      </c>
      <c r="H18" s="3">
        <v>0.13</v>
      </c>
      <c r="I18" s="3">
        <f t="shared" si="2"/>
        <v>0.2</v>
      </c>
      <c r="J18" s="3">
        <f t="shared" si="3"/>
        <v>0.11310000000000001</v>
      </c>
      <c r="V18" s="3"/>
    </row>
    <row r="19" spans="3:22" x14ac:dyDescent="0.25">
      <c r="C19" s="1">
        <v>4.3499999999999996</v>
      </c>
      <c r="D19" s="1">
        <v>0.5</v>
      </c>
      <c r="E19" s="1">
        <v>0.6</v>
      </c>
      <c r="F19" s="3">
        <f t="shared" ref="F19:F21" si="11">C19*D19*E19</f>
        <v>1.3049999999999999</v>
      </c>
      <c r="H19" s="3">
        <v>0.13</v>
      </c>
      <c r="I19" s="3">
        <f t="shared" si="2"/>
        <v>0.2</v>
      </c>
      <c r="J19" s="3">
        <f t="shared" si="3"/>
        <v>0.11310000000000001</v>
      </c>
      <c r="V19" s="3"/>
    </row>
    <row r="20" spans="3:22" x14ac:dyDescent="0.25">
      <c r="C20" s="1">
        <v>4.3499999999999996</v>
      </c>
      <c r="D20" s="1">
        <v>0.5</v>
      </c>
      <c r="E20" s="1">
        <v>0.6</v>
      </c>
      <c r="F20" s="3">
        <f t="shared" si="11"/>
        <v>1.3049999999999999</v>
      </c>
      <c r="H20" s="3">
        <v>0.13</v>
      </c>
      <c r="I20" s="3">
        <f t="shared" si="2"/>
        <v>0.2</v>
      </c>
      <c r="J20" s="3">
        <f t="shared" si="3"/>
        <v>0.11310000000000001</v>
      </c>
      <c r="V20" s="3"/>
    </row>
    <row r="21" spans="3:22" x14ac:dyDescent="0.25">
      <c r="C21" s="1">
        <v>4.3499999999999996</v>
      </c>
      <c r="D21" s="1">
        <v>0.5</v>
      </c>
      <c r="E21" s="1">
        <v>0.6</v>
      </c>
      <c r="F21" s="3">
        <f t="shared" si="11"/>
        <v>1.3049999999999999</v>
      </c>
      <c r="H21" s="3">
        <v>0.13</v>
      </c>
      <c r="I21" s="3">
        <f t="shared" si="2"/>
        <v>0.2</v>
      </c>
      <c r="J21" s="3">
        <f t="shared" si="3"/>
        <v>0.11310000000000001</v>
      </c>
      <c r="V21" s="3"/>
    </row>
    <row r="22" spans="3:22" x14ac:dyDescent="0.25">
      <c r="C22" s="1">
        <v>2.85</v>
      </c>
      <c r="D22" s="1">
        <v>0.5</v>
      </c>
      <c r="E22" s="1">
        <v>0.6</v>
      </c>
      <c r="F22" s="3">
        <f t="shared" ref="F22:F31" si="12">C22*D22*E22</f>
        <v>0.85499999999999998</v>
      </c>
      <c r="H22" s="3">
        <v>0.13</v>
      </c>
      <c r="I22" s="3">
        <f t="shared" si="2"/>
        <v>0.2</v>
      </c>
      <c r="J22" s="3">
        <f t="shared" si="3"/>
        <v>7.4100000000000013E-2</v>
      </c>
      <c r="V22" s="3"/>
    </row>
    <row r="23" spans="3:22" x14ac:dyDescent="0.25">
      <c r="C23" s="1">
        <v>2.15</v>
      </c>
      <c r="D23" s="1">
        <v>0.5</v>
      </c>
      <c r="E23" s="1">
        <v>0.6</v>
      </c>
      <c r="F23" s="3">
        <f t="shared" si="12"/>
        <v>0.64499999999999991</v>
      </c>
      <c r="H23" s="3">
        <v>0.13</v>
      </c>
      <c r="I23" s="3">
        <f t="shared" si="2"/>
        <v>0.2</v>
      </c>
      <c r="J23" s="3">
        <f>C23*H23*I23</f>
        <v>5.5899999999999998E-2</v>
      </c>
      <c r="V23" s="3"/>
    </row>
    <row r="24" spans="3:22" x14ac:dyDescent="0.25">
      <c r="C24" s="1">
        <v>4.3499999999999996</v>
      </c>
      <c r="D24" s="1">
        <v>0.5</v>
      </c>
      <c r="E24" s="1">
        <v>0.6</v>
      </c>
      <c r="F24" s="3">
        <f t="shared" si="12"/>
        <v>1.3049999999999999</v>
      </c>
      <c r="H24" s="3">
        <v>0.13</v>
      </c>
      <c r="I24" s="3">
        <f t="shared" si="2"/>
        <v>0.2</v>
      </c>
      <c r="J24" s="3">
        <f t="shared" si="3"/>
        <v>0.11310000000000001</v>
      </c>
      <c r="V24" s="3"/>
    </row>
    <row r="25" spans="3:22" x14ac:dyDescent="0.25">
      <c r="C25" s="1">
        <v>4.3499999999999996</v>
      </c>
      <c r="D25" s="1">
        <v>0.5</v>
      </c>
      <c r="E25" s="1">
        <v>0.6</v>
      </c>
      <c r="F25" s="3">
        <f t="shared" si="12"/>
        <v>1.3049999999999999</v>
      </c>
      <c r="H25" s="3">
        <v>0.13</v>
      </c>
      <c r="I25" s="3">
        <f t="shared" si="2"/>
        <v>0.2</v>
      </c>
      <c r="J25" s="3">
        <f t="shared" si="3"/>
        <v>0.11310000000000001</v>
      </c>
    </row>
    <row r="26" spans="3:22" x14ac:dyDescent="0.25">
      <c r="C26" s="1">
        <v>4.3499999999999996</v>
      </c>
      <c r="D26" s="1">
        <v>0.5</v>
      </c>
      <c r="E26" s="1">
        <v>0.6</v>
      </c>
      <c r="F26" s="3">
        <f t="shared" si="12"/>
        <v>1.3049999999999999</v>
      </c>
      <c r="H26" s="3">
        <v>0.13</v>
      </c>
      <c r="I26" s="3">
        <f t="shared" si="2"/>
        <v>0.2</v>
      </c>
      <c r="J26" s="3">
        <f t="shared" si="3"/>
        <v>0.11310000000000001</v>
      </c>
    </row>
    <row r="27" spans="3:22" x14ac:dyDescent="0.25">
      <c r="C27" s="1">
        <v>4.3499999999999996</v>
      </c>
      <c r="D27" s="1">
        <v>0.5</v>
      </c>
      <c r="E27" s="1">
        <v>0.6</v>
      </c>
      <c r="F27" s="3">
        <f t="shared" si="12"/>
        <v>1.3049999999999999</v>
      </c>
      <c r="H27" s="3">
        <v>0.13</v>
      </c>
      <c r="I27" s="3">
        <f t="shared" si="2"/>
        <v>0.2</v>
      </c>
      <c r="J27" s="3">
        <f t="shared" si="3"/>
        <v>0.11310000000000001</v>
      </c>
    </row>
    <row r="28" spans="3:22" x14ac:dyDescent="0.25">
      <c r="C28" s="1">
        <v>4.3499999999999996</v>
      </c>
      <c r="D28" s="1">
        <v>0.5</v>
      </c>
      <c r="E28" s="1">
        <v>0.6</v>
      </c>
      <c r="F28" s="3">
        <f t="shared" si="12"/>
        <v>1.3049999999999999</v>
      </c>
      <c r="H28" s="3">
        <v>0.13</v>
      </c>
      <c r="I28" s="3">
        <f t="shared" si="2"/>
        <v>0.2</v>
      </c>
      <c r="J28" s="3">
        <f t="shared" si="3"/>
        <v>0.11310000000000001</v>
      </c>
    </row>
    <row r="29" spans="3:22" x14ac:dyDescent="0.25">
      <c r="C29" s="1">
        <v>2.15</v>
      </c>
      <c r="D29" s="1">
        <v>0.5</v>
      </c>
      <c r="E29" s="1">
        <v>0.6</v>
      </c>
      <c r="F29" s="3">
        <f t="shared" si="12"/>
        <v>0.64499999999999991</v>
      </c>
      <c r="H29" s="3">
        <v>0.13</v>
      </c>
      <c r="I29" s="3">
        <f t="shared" si="2"/>
        <v>0.2</v>
      </c>
      <c r="J29" s="3">
        <f t="shared" si="3"/>
        <v>5.5899999999999998E-2</v>
      </c>
    </row>
    <row r="30" spans="3:22" x14ac:dyDescent="0.25">
      <c r="C30" s="1">
        <v>2.85</v>
      </c>
      <c r="D30" s="1">
        <v>0.5</v>
      </c>
      <c r="E30" s="1">
        <v>0.6</v>
      </c>
      <c r="F30" s="3">
        <f t="shared" si="12"/>
        <v>0.85499999999999998</v>
      </c>
      <c r="H30" s="3">
        <v>0.13</v>
      </c>
      <c r="I30" s="3">
        <f t="shared" si="2"/>
        <v>0.2</v>
      </c>
      <c r="J30" s="3">
        <f t="shared" si="3"/>
        <v>7.4100000000000013E-2</v>
      </c>
    </row>
    <row r="31" spans="3:22" x14ac:dyDescent="0.25">
      <c r="C31" s="1">
        <v>5.75</v>
      </c>
      <c r="D31" s="1">
        <v>0.5</v>
      </c>
      <c r="E31" s="1">
        <v>0.6</v>
      </c>
      <c r="F31" s="3">
        <f t="shared" si="12"/>
        <v>1.7249999999999999</v>
      </c>
      <c r="H31" s="3">
        <v>0.13</v>
      </c>
      <c r="I31" s="3">
        <f t="shared" si="2"/>
        <v>0.2</v>
      </c>
      <c r="J31" s="3">
        <f t="shared" si="3"/>
        <v>0.14950000000000002</v>
      </c>
    </row>
    <row r="32" spans="3:22" x14ac:dyDescent="0.25">
      <c r="C32" s="1">
        <v>4.3499999999999996</v>
      </c>
      <c r="D32" s="1">
        <v>0.5</v>
      </c>
      <c r="E32" s="1">
        <v>0.6</v>
      </c>
      <c r="F32" s="3">
        <f t="shared" ref="F32:F57" si="13">C32*D32*E32</f>
        <v>1.3049999999999999</v>
      </c>
      <c r="H32" s="3">
        <v>0.13</v>
      </c>
      <c r="I32" s="3">
        <f t="shared" si="2"/>
        <v>0.2</v>
      </c>
      <c r="J32" s="3">
        <f t="shared" si="3"/>
        <v>0.11310000000000001</v>
      </c>
    </row>
    <row r="33" spans="3:10" x14ac:dyDescent="0.25">
      <c r="C33" s="1">
        <v>4.3499999999999996</v>
      </c>
      <c r="D33" s="1">
        <v>0.5</v>
      </c>
      <c r="E33" s="1">
        <v>0.6</v>
      </c>
      <c r="F33" s="3">
        <f t="shared" si="13"/>
        <v>1.3049999999999999</v>
      </c>
      <c r="H33" s="3">
        <v>0.13</v>
      </c>
      <c r="I33" s="3">
        <f t="shared" si="2"/>
        <v>0.2</v>
      </c>
      <c r="J33" s="3">
        <f t="shared" si="3"/>
        <v>0.11310000000000001</v>
      </c>
    </row>
    <row r="34" spans="3:10" x14ac:dyDescent="0.25">
      <c r="C34" s="1">
        <v>4.3499999999999996</v>
      </c>
      <c r="D34" s="1">
        <v>0.5</v>
      </c>
      <c r="E34" s="1">
        <v>0.6</v>
      </c>
      <c r="F34" s="3">
        <f t="shared" si="13"/>
        <v>1.3049999999999999</v>
      </c>
      <c r="H34" s="3">
        <v>0.13</v>
      </c>
      <c r="I34" s="3">
        <f t="shared" si="2"/>
        <v>0.2</v>
      </c>
      <c r="J34" s="3">
        <f t="shared" si="3"/>
        <v>0.11310000000000001</v>
      </c>
    </row>
    <row r="35" spans="3:10" x14ac:dyDescent="0.25">
      <c r="C35" s="1">
        <v>2.85</v>
      </c>
      <c r="D35" s="1">
        <v>0.5</v>
      </c>
      <c r="E35" s="1">
        <v>0.6</v>
      </c>
      <c r="F35" s="3">
        <f t="shared" si="13"/>
        <v>0.85499999999999998</v>
      </c>
      <c r="H35" s="3">
        <v>0.13</v>
      </c>
      <c r="I35" s="3">
        <f t="shared" si="2"/>
        <v>0.2</v>
      </c>
      <c r="J35" s="3">
        <f t="shared" si="3"/>
        <v>7.4100000000000013E-2</v>
      </c>
    </row>
    <row r="36" spans="3:10" x14ac:dyDescent="0.25">
      <c r="C36" s="1">
        <v>5.9749999999999996</v>
      </c>
      <c r="D36" s="1">
        <v>0.5</v>
      </c>
      <c r="E36" s="1">
        <v>0.6</v>
      </c>
      <c r="F36" s="3">
        <f t="shared" si="13"/>
        <v>1.7924999999999998</v>
      </c>
      <c r="H36" s="3">
        <v>0.13</v>
      </c>
      <c r="I36" s="3">
        <f t="shared" si="2"/>
        <v>0.2</v>
      </c>
      <c r="J36" s="3">
        <f t="shared" si="3"/>
        <v>0.15534999999999999</v>
      </c>
    </row>
    <row r="37" spans="3:10" x14ac:dyDescent="0.25">
      <c r="C37" s="1">
        <v>3.7749999999999999</v>
      </c>
      <c r="D37" s="1">
        <v>0.5</v>
      </c>
      <c r="E37" s="1">
        <v>0.6</v>
      </c>
      <c r="F37" s="3">
        <f t="shared" si="13"/>
        <v>1.1324999999999998</v>
      </c>
      <c r="H37" s="3">
        <v>0.13</v>
      </c>
      <c r="I37" s="3">
        <f t="shared" si="2"/>
        <v>0.2</v>
      </c>
      <c r="J37" s="3">
        <f t="shared" si="3"/>
        <v>9.8150000000000015E-2</v>
      </c>
    </row>
    <row r="38" spans="3:10" x14ac:dyDescent="0.25">
      <c r="C38" s="1">
        <v>4.3499999999999996</v>
      </c>
      <c r="D38" s="1">
        <v>0.5</v>
      </c>
      <c r="E38" s="1">
        <v>0.6</v>
      </c>
      <c r="F38" s="3">
        <f t="shared" si="13"/>
        <v>1.3049999999999999</v>
      </c>
      <c r="H38" s="3">
        <v>0.13</v>
      </c>
      <c r="I38" s="3">
        <f t="shared" si="2"/>
        <v>0.2</v>
      </c>
      <c r="J38" s="3">
        <f t="shared" si="3"/>
        <v>0.11310000000000001</v>
      </c>
    </row>
    <row r="39" spans="3:10" x14ac:dyDescent="0.25">
      <c r="C39" s="1">
        <v>4.3499999999999996</v>
      </c>
      <c r="D39" s="1">
        <v>0.5</v>
      </c>
      <c r="E39" s="1">
        <v>0.6</v>
      </c>
      <c r="F39" s="3">
        <f t="shared" si="13"/>
        <v>1.3049999999999999</v>
      </c>
      <c r="H39" s="3">
        <v>0.13</v>
      </c>
      <c r="I39" s="3">
        <f t="shared" si="2"/>
        <v>0.2</v>
      </c>
      <c r="J39" s="3">
        <f t="shared" si="3"/>
        <v>0.11310000000000001</v>
      </c>
    </row>
    <row r="40" spans="3:10" x14ac:dyDescent="0.25">
      <c r="C40" s="1">
        <v>4.3499999999999996</v>
      </c>
      <c r="D40" s="1">
        <v>0.5</v>
      </c>
      <c r="E40" s="1">
        <v>0.6</v>
      </c>
      <c r="F40" s="3">
        <f t="shared" si="13"/>
        <v>1.3049999999999999</v>
      </c>
      <c r="H40" s="3">
        <v>0.13</v>
      </c>
      <c r="I40" s="3">
        <f t="shared" si="2"/>
        <v>0.2</v>
      </c>
      <c r="J40" s="3">
        <f t="shared" si="3"/>
        <v>0.11310000000000001</v>
      </c>
    </row>
    <row r="41" spans="3:10" x14ac:dyDescent="0.25">
      <c r="C41" s="1">
        <v>4.3499999999999996</v>
      </c>
      <c r="D41" s="1">
        <v>0.5</v>
      </c>
      <c r="E41" s="1">
        <v>0.6</v>
      </c>
      <c r="F41" s="3">
        <f t="shared" si="13"/>
        <v>1.3049999999999999</v>
      </c>
      <c r="H41" s="3">
        <v>0.13</v>
      </c>
      <c r="I41" s="3">
        <f t="shared" si="2"/>
        <v>0.2</v>
      </c>
      <c r="J41" s="3">
        <f t="shared" si="3"/>
        <v>0.11310000000000001</v>
      </c>
    </row>
    <row r="42" spans="3:10" x14ac:dyDescent="0.25">
      <c r="C42" s="1">
        <v>4.3499999999999996</v>
      </c>
      <c r="D42" s="1">
        <v>0.5</v>
      </c>
      <c r="E42" s="1">
        <v>0.6</v>
      </c>
      <c r="F42" s="3">
        <f t="shared" si="13"/>
        <v>1.3049999999999999</v>
      </c>
      <c r="H42" s="3">
        <v>0.13</v>
      </c>
      <c r="I42" s="3">
        <f t="shared" si="2"/>
        <v>0.2</v>
      </c>
      <c r="J42" s="3">
        <f t="shared" si="3"/>
        <v>0.11310000000000001</v>
      </c>
    </row>
    <row r="43" spans="3:10" x14ac:dyDescent="0.25">
      <c r="C43" s="1">
        <v>4.3499999999999996</v>
      </c>
      <c r="D43" s="1">
        <v>0.5</v>
      </c>
      <c r="E43" s="1">
        <v>0.6</v>
      </c>
      <c r="F43" s="3">
        <f t="shared" si="13"/>
        <v>1.3049999999999999</v>
      </c>
      <c r="H43" s="3">
        <v>0.13</v>
      </c>
      <c r="I43" s="3">
        <f t="shared" si="2"/>
        <v>0.2</v>
      </c>
      <c r="J43" s="3">
        <f t="shared" si="3"/>
        <v>0.11310000000000001</v>
      </c>
    </row>
    <row r="44" spans="3:10" x14ac:dyDescent="0.25">
      <c r="C44" s="1">
        <v>2.85</v>
      </c>
      <c r="D44" s="1">
        <v>0.5</v>
      </c>
      <c r="E44" s="1">
        <v>0.6</v>
      </c>
      <c r="F44" s="3">
        <f t="shared" si="13"/>
        <v>0.85499999999999998</v>
      </c>
      <c r="H44" s="3">
        <v>0.13</v>
      </c>
      <c r="I44" s="3">
        <f t="shared" si="2"/>
        <v>0.2</v>
      </c>
      <c r="J44" s="3">
        <f t="shared" si="3"/>
        <v>7.4100000000000013E-2</v>
      </c>
    </row>
    <row r="45" spans="3:10" x14ac:dyDescent="0.25">
      <c r="C45" s="1">
        <v>5.75</v>
      </c>
      <c r="D45" s="1">
        <v>0.5</v>
      </c>
      <c r="E45" s="1">
        <v>0.6</v>
      </c>
      <c r="F45" s="3">
        <f t="shared" si="13"/>
        <v>1.7249999999999999</v>
      </c>
      <c r="H45" s="3">
        <v>0.13</v>
      </c>
      <c r="I45" s="3">
        <f t="shared" si="2"/>
        <v>0.2</v>
      </c>
      <c r="J45" s="3">
        <f t="shared" si="3"/>
        <v>0.14950000000000002</v>
      </c>
    </row>
    <row r="46" spans="3:10" x14ac:dyDescent="0.25">
      <c r="C46" s="1">
        <v>5.75</v>
      </c>
      <c r="D46" s="1">
        <v>0.5</v>
      </c>
      <c r="E46" s="1">
        <v>0.6</v>
      </c>
      <c r="F46" s="3">
        <f t="shared" si="13"/>
        <v>1.7249999999999999</v>
      </c>
      <c r="H46" s="3">
        <v>0.13</v>
      </c>
      <c r="I46" s="3">
        <f t="shared" si="2"/>
        <v>0.2</v>
      </c>
      <c r="J46" s="3">
        <f t="shared" si="3"/>
        <v>0.14950000000000002</v>
      </c>
    </row>
    <row r="47" spans="3:10" x14ac:dyDescent="0.25">
      <c r="C47" s="1">
        <v>2.85</v>
      </c>
      <c r="D47" s="1">
        <v>0.5</v>
      </c>
      <c r="E47" s="1">
        <v>0.6</v>
      </c>
      <c r="F47" s="3">
        <f t="shared" si="13"/>
        <v>0.85499999999999998</v>
      </c>
      <c r="H47" s="3">
        <v>0.13</v>
      </c>
      <c r="I47" s="3">
        <f t="shared" si="2"/>
        <v>0.2</v>
      </c>
      <c r="J47" s="3">
        <f t="shared" si="3"/>
        <v>7.4100000000000013E-2</v>
      </c>
    </row>
    <row r="48" spans="3:10" x14ac:dyDescent="0.25">
      <c r="C48" s="1">
        <v>4.4749999999999996</v>
      </c>
      <c r="D48" s="1">
        <v>0.5</v>
      </c>
      <c r="E48" s="1">
        <v>0.6</v>
      </c>
      <c r="F48" s="3">
        <f t="shared" si="13"/>
        <v>1.3424999999999998</v>
      </c>
      <c r="H48" s="3">
        <v>0.13</v>
      </c>
      <c r="I48" s="3">
        <f t="shared" si="2"/>
        <v>0.2</v>
      </c>
      <c r="J48" s="3">
        <f t="shared" si="3"/>
        <v>0.11635000000000001</v>
      </c>
    </row>
    <row r="49" spans="3:10" x14ac:dyDescent="0.25">
      <c r="C49" s="1">
        <v>1.575</v>
      </c>
      <c r="D49" s="1">
        <v>0.5</v>
      </c>
      <c r="E49" s="1">
        <v>0.6</v>
      </c>
      <c r="F49" s="3">
        <f t="shared" si="13"/>
        <v>0.47249999999999998</v>
      </c>
      <c r="H49" s="3">
        <v>0.13</v>
      </c>
      <c r="I49" s="3">
        <f t="shared" si="2"/>
        <v>0.2</v>
      </c>
      <c r="J49" s="3">
        <f t="shared" si="3"/>
        <v>4.095E-2</v>
      </c>
    </row>
    <row r="50" spans="3:10" x14ac:dyDescent="0.25">
      <c r="C50" s="1">
        <v>4.3499999999999996</v>
      </c>
      <c r="D50" s="1">
        <v>0.5</v>
      </c>
      <c r="E50" s="1">
        <v>0.6</v>
      </c>
      <c r="F50" s="3">
        <f t="shared" si="13"/>
        <v>1.3049999999999999</v>
      </c>
      <c r="H50" s="3">
        <v>0.13</v>
      </c>
      <c r="I50" s="3">
        <f t="shared" si="2"/>
        <v>0.2</v>
      </c>
      <c r="J50" s="3">
        <f t="shared" si="3"/>
        <v>0.11310000000000001</v>
      </c>
    </row>
    <row r="51" spans="3:10" x14ac:dyDescent="0.25">
      <c r="C51" s="1">
        <v>4.3499999999999996</v>
      </c>
      <c r="D51" s="1">
        <v>0.5</v>
      </c>
      <c r="E51" s="1">
        <v>0.6</v>
      </c>
      <c r="F51" s="3">
        <f t="shared" si="13"/>
        <v>1.3049999999999999</v>
      </c>
      <c r="H51" s="3">
        <v>0.13</v>
      </c>
      <c r="I51" s="3">
        <f t="shared" si="2"/>
        <v>0.2</v>
      </c>
      <c r="J51" s="3">
        <f t="shared" si="3"/>
        <v>0.11310000000000001</v>
      </c>
    </row>
    <row r="52" spans="3:10" x14ac:dyDescent="0.25">
      <c r="C52" s="1">
        <v>4.3499999999999996</v>
      </c>
      <c r="D52" s="1">
        <v>0.5</v>
      </c>
      <c r="E52" s="1">
        <v>0.6</v>
      </c>
      <c r="F52" s="3">
        <f t="shared" si="13"/>
        <v>1.3049999999999999</v>
      </c>
      <c r="H52" s="3">
        <v>0.13</v>
      </c>
      <c r="I52" s="3">
        <f t="shared" si="2"/>
        <v>0.2</v>
      </c>
      <c r="J52" s="3">
        <f t="shared" si="3"/>
        <v>0.11310000000000001</v>
      </c>
    </row>
    <row r="53" spans="3:10" x14ac:dyDescent="0.25">
      <c r="C53" s="1">
        <v>4.3499999999999996</v>
      </c>
      <c r="D53" s="1">
        <v>0.5</v>
      </c>
      <c r="E53" s="1">
        <v>0.6</v>
      </c>
      <c r="F53" s="3">
        <f t="shared" si="13"/>
        <v>1.3049999999999999</v>
      </c>
      <c r="H53" s="3">
        <v>0.13</v>
      </c>
      <c r="I53" s="3">
        <f t="shared" si="2"/>
        <v>0.2</v>
      </c>
      <c r="J53" s="3">
        <f t="shared" si="3"/>
        <v>0.11310000000000001</v>
      </c>
    </row>
    <row r="54" spans="3:10" x14ac:dyDescent="0.25">
      <c r="C54" s="1">
        <v>2.85</v>
      </c>
      <c r="D54" s="1">
        <v>0.5</v>
      </c>
      <c r="E54" s="1">
        <v>0.6</v>
      </c>
      <c r="F54" s="3">
        <f t="shared" si="13"/>
        <v>0.85499999999999998</v>
      </c>
      <c r="H54" s="3">
        <v>0.13</v>
      </c>
      <c r="I54" s="3">
        <f t="shared" si="2"/>
        <v>0.2</v>
      </c>
      <c r="J54" s="3">
        <f t="shared" si="3"/>
        <v>7.4100000000000013E-2</v>
      </c>
    </row>
    <row r="55" spans="3:10" x14ac:dyDescent="0.25">
      <c r="C55" s="1">
        <v>4.3499999999999996</v>
      </c>
      <c r="D55" s="1">
        <v>0.5</v>
      </c>
      <c r="E55" s="1">
        <v>0.6</v>
      </c>
      <c r="F55" s="3">
        <f t="shared" si="13"/>
        <v>1.3049999999999999</v>
      </c>
      <c r="H55" s="3">
        <v>0.13</v>
      </c>
      <c r="I55" s="3">
        <f t="shared" si="2"/>
        <v>0.2</v>
      </c>
      <c r="J55" s="3">
        <f t="shared" si="3"/>
        <v>0.11310000000000001</v>
      </c>
    </row>
    <row r="56" spans="3:10" x14ac:dyDescent="0.25">
      <c r="C56" s="1">
        <v>4.3499999999999996</v>
      </c>
      <c r="D56" s="1">
        <v>0.5</v>
      </c>
      <c r="E56" s="1">
        <v>0.6</v>
      </c>
      <c r="F56" s="3">
        <f t="shared" si="13"/>
        <v>1.3049999999999999</v>
      </c>
      <c r="H56" s="3">
        <v>0.13</v>
      </c>
      <c r="I56" s="3">
        <f t="shared" si="2"/>
        <v>0.2</v>
      </c>
      <c r="J56" s="3">
        <f t="shared" si="3"/>
        <v>0.11310000000000001</v>
      </c>
    </row>
    <row r="57" spans="3:10" x14ac:dyDescent="0.25">
      <c r="C57" s="1">
        <v>4.3499999999999996</v>
      </c>
      <c r="D57" s="1">
        <v>0.5</v>
      </c>
      <c r="E57" s="1">
        <v>0.6</v>
      </c>
      <c r="F57" s="3">
        <f t="shared" si="13"/>
        <v>1.3049999999999999</v>
      </c>
      <c r="H57" s="3">
        <v>0.13</v>
      </c>
      <c r="I57" s="3">
        <f t="shared" si="2"/>
        <v>0.2</v>
      </c>
      <c r="J57" s="3">
        <f t="shared" si="3"/>
        <v>0.11310000000000001</v>
      </c>
    </row>
    <row r="58" spans="3:10" x14ac:dyDescent="0.25">
      <c r="C58" s="1">
        <v>5.75</v>
      </c>
      <c r="D58" s="1">
        <v>0.5</v>
      </c>
      <c r="E58" s="1">
        <v>0.6</v>
      </c>
      <c r="F58" s="3">
        <f t="shared" ref="F58:F61" si="14">C58*D58*E58</f>
        <v>1.7249999999999999</v>
      </c>
      <c r="H58" s="3">
        <v>0.13</v>
      </c>
      <c r="I58" s="3">
        <f t="shared" si="2"/>
        <v>0.2</v>
      </c>
      <c r="J58" s="3">
        <f t="shared" si="3"/>
        <v>0.14950000000000002</v>
      </c>
    </row>
    <row r="59" spans="3:10" x14ac:dyDescent="0.25">
      <c r="C59" s="1">
        <v>5.75</v>
      </c>
      <c r="D59" s="1">
        <v>0.5</v>
      </c>
      <c r="E59" s="1">
        <v>0.6</v>
      </c>
      <c r="F59" s="3">
        <f t="shared" si="14"/>
        <v>1.7249999999999999</v>
      </c>
      <c r="H59" s="3">
        <v>0.13</v>
      </c>
      <c r="I59" s="3">
        <f t="shared" si="2"/>
        <v>0.2</v>
      </c>
      <c r="J59" s="3">
        <f t="shared" si="3"/>
        <v>0.14950000000000002</v>
      </c>
    </row>
    <row r="60" spans="3:10" x14ac:dyDescent="0.25">
      <c r="C60" s="1">
        <v>2.85</v>
      </c>
      <c r="D60" s="1">
        <v>0.5</v>
      </c>
      <c r="E60" s="1">
        <v>0.6</v>
      </c>
      <c r="F60" s="3">
        <f t="shared" si="14"/>
        <v>0.85499999999999998</v>
      </c>
      <c r="H60" s="3">
        <v>0.13</v>
      </c>
      <c r="I60" s="3">
        <f t="shared" si="2"/>
        <v>0.2</v>
      </c>
      <c r="J60" s="3">
        <f t="shared" si="3"/>
        <v>7.4100000000000013E-2</v>
      </c>
    </row>
    <row r="61" spans="3:10" x14ac:dyDescent="0.25">
      <c r="C61" s="1">
        <v>2.85</v>
      </c>
      <c r="D61" s="1">
        <v>0.5</v>
      </c>
      <c r="E61" s="1">
        <v>0.6</v>
      </c>
      <c r="F61" s="3">
        <f t="shared" si="14"/>
        <v>0.85499999999999998</v>
      </c>
      <c r="H61" s="3">
        <v>0.13</v>
      </c>
      <c r="I61" s="3">
        <f t="shared" si="2"/>
        <v>0.2</v>
      </c>
      <c r="J61" s="3">
        <f t="shared" si="3"/>
        <v>7.4100000000000013E-2</v>
      </c>
    </row>
    <row r="62" spans="3:10" x14ac:dyDescent="0.25">
      <c r="C62" s="1">
        <v>4.3499999999999996</v>
      </c>
      <c r="D62" s="1">
        <v>0.5</v>
      </c>
      <c r="E62" s="1">
        <v>0.6</v>
      </c>
      <c r="F62" s="3">
        <f t="shared" ref="F62:F63" si="15">C62*D62*E62</f>
        <v>1.3049999999999999</v>
      </c>
      <c r="H62" s="3">
        <v>0.13</v>
      </c>
      <c r="I62" s="3">
        <f t="shared" si="2"/>
        <v>0.2</v>
      </c>
      <c r="J62" s="3">
        <f t="shared" si="3"/>
        <v>0.11310000000000001</v>
      </c>
    </row>
    <row r="63" spans="3:10" x14ac:dyDescent="0.25">
      <c r="C63" s="1">
        <v>4.3499999999999996</v>
      </c>
      <c r="D63" s="1">
        <v>0.5</v>
      </c>
      <c r="E63" s="1">
        <v>0.6</v>
      </c>
      <c r="F63" s="3">
        <f t="shared" si="15"/>
        <v>1.3049999999999999</v>
      </c>
      <c r="H63" s="3">
        <v>0.13</v>
      </c>
      <c r="I63" s="3">
        <f t="shared" si="2"/>
        <v>0.2</v>
      </c>
      <c r="J63" s="3">
        <f t="shared" si="3"/>
        <v>0.11310000000000001</v>
      </c>
    </row>
    <row r="64" spans="3:10" x14ac:dyDescent="0.25">
      <c r="C64" s="1">
        <v>4.3499999999999996</v>
      </c>
      <c r="D64" s="1">
        <v>0.5</v>
      </c>
      <c r="E64" s="1">
        <v>0.6</v>
      </c>
      <c r="F64" s="3">
        <f t="shared" ref="F64:F66" si="16">C64*D64*E64</f>
        <v>1.3049999999999999</v>
      </c>
      <c r="H64" s="3">
        <v>0.13</v>
      </c>
      <c r="I64" s="3">
        <f t="shared" si="2"/>
        <v>0.2</v>
      </c>
      <c r="J64" s="3">
        <f t="shared" si="3"/>
        <v>0.11310000000000001</v>
      </c>
    </row>
    <row r="65" spans="3:13" x14ac:dyDescent="0.25">
      <c r="C65" s="1">
        <v>4.3499999999999996</v>
      </c>
      <c r="D65" s="1">
        <v>0.5</v>
      </c>
      <c r="E65" s="1">
        <v>0.6</v>
      </c>
      <c r="F65" s="3">
        <f t="shared" si="16"/>
        <v>1.3049999999999999</v>
      </c>
      <c r="H65" s="3">
        <v>0.13</v>
      </c>
      <c r="I65" s="3">
        <f t="shared" si="2"/>
        <v>0.2</v>
      </c>
      <c r="J65" s="3">
        <f t="shared" si="3"/>
        <v>0.11310000000000001</v>
      </c>
    </row>
    <row r="66" spans="3:13" x14ac:dyDescent="0.25">
      <c r="C66" s="1">
        <v>2.585</v>
      </c>
      <c r="D66" s="1">
        <v>0.5</v>
      </c>
      <c r="E66" s="1">
        <v>0.6</v>
      </c>
      <c r="F66" s="3">
        <f t="shared" si="16"/>
        <v>0.77549999999999997</v>
      </c>
      <c r="H66" s="3">
        <v>0.13</v>
      </c>
      <c r="I66" s="3">
        <f t="shared" si="2"/>
        <v>0.2</v>
      </c>
      <c r="J66" s="3">
        <f t="shared" si="3"/>
        <v>6.7210000000000006E-2</v>
      </c>
    </row>
    <row r="67" spans="3:13" x14ac:dyDescent="0.25">
      <c r="C67" s="26">
        <f>3.775</f>
        <v>3.7749999999999999</v>
      </c>
      <c r="D67" s="1">
        <v>0.5</v>
      </c>
      <c r="E67" s="1">
        <v>0.6</v>
      </c>
      <c r="F67" s="3">
        <f t="shared" ref="F67:F73" si="17">C67*D67*E67</f>
        <v>1.1324999999999998</v>
      </c>
      <c r="H67" s="3">
        <v>0.13</v>
      </c>
      <c r="I67" s="3">
        <f t="shared" si="2"/>
        <v>0.2</v>
      </c>
      <c r="J67" s="3">
        <f t="shared" si="3"/>
        <v>9.8150000000000015E-2</v>
      </c>
    </row>
    <row r="68" spans="3:13" x14ac:dyDescent="0.25">
      <c r="C68" s="1">
        <v>4.3499999999999996</v>
      </c>
      <c r="D68" s="1">
        <v>0.5</v>
      </c>
      <c r="E68" s="1">
        <v>0.6</v>
      </c>
      <c r="F68" s="3">
        <f t="shared" si="17"/>
        <v>1.3049999999999999</v>
      </c>
      <c r="H68" s="3">
        <v>0.13</v>
      </c>
      <c r="I68" s="3">
        <f t="shared" si="2"/>
        <v>0.2</v>
      </c>
      <c r="J68" s="3">
        <f t="shared" si="3"/>
        <v>0.11310000000000001</v>
      </c>
    </row>
    <row r="69" spans="3:13" x14ac:dyDescent="0.25">
      <c r="C69" s="1">
        <v>4.3499999999999996</v>
      </c>
      <c r="D69" s="1">
        <v>0.5</v>
      </c>
      <c r="E69" s="1">
        <v>0.6</v>
      </c>
      <c r="F69" s="3">
        <f t="shared" si="17"/>
        <v>1.3049999999999999</v>
      </c>
      <c r="H69" s="3">
        <v>0.13</v>
      </c>
      <c r="I69" s="3">
        <f t="shared" si="2"/>
        <v>0.2</v>
      </c>
      <c r="J69" s="3">
        <f t="shared" si="3"/>
        <v>0.11310000000000001</v>
      </c>
    </row>
    <row r="70" spans="3:13" x14ac:dyDescent="0.25">
      <c r="C70" s="1">
        <v>4.3499999999999996</v>
      </c>
      <c r="D70" s="1">
        <v>0.5</v>
      </c>
      <c r="E70" s="1">
        <v>0.6</v>
      </c>
      <c r="F70" s="3">
        <f t="shared" si="17"/>
        <v>1.3049999999999999</v>
      </c>
      <c r="H70" s="3">
        <v>0.13</v>
      </c>
      <c r="I70" s="3">
        <f t="shared" ref="I70:I86" si="18">0.2</f>
        <v>0.2</v>
      </c>
      <c r="J70" s="3">
        <f t="shared" ref="J70:J86" si="19">C70*H70*I70</f>
        <v>0.11310000000000001</v>
      </c>
    </row>
    <row r="71" spans="3:13" x14ac:dyDescent="0.25">
      <c r="C71" s="1">
        <v>4.3499999999999996</v>
      </c>
      <c r="D71" s="1">
        <v>0.5</v>
      </c>
      <c r="E71" s="1">
        <v>0.6</v>
      </c>
      <c r="F71" s="3">
        <f t="shared" si="17"/>
        <v>1.3049999999999999</v>
      </c>
      <c r="H71" s="3">
        <v>0.13</v>
      </c>
      <c r="I71" s="3">
        <f t="shared" si="18"/>
        <v>0.2</v>
      </c>
      <c r="J71" s="3">
        <f t="shared" si="19"/>
        <v>0.11310000000000001</v>
      </c>
    </row>
    <row r="72" spans="3:13" x14ac:dyDescent="0.25">
      <c r="C72" s="1">
        <v>4.3499999999999996</v>
      </c>
      <c r="D72" s="1">
        <v>0.5</v>
      </c>
      <c r="E72" s="1">
        <v>0.6</v>
      </c>
      <c r="F72" s="3">
        <f t="shared" si="17"/>
        <v>1.3049999999999999</v>
      </c>
      <c r="H72" s="3">
        <v>0.13</v>
      </c>
      <c r="I72" s="3">
        <f t="shared" si="18"/>
        <v>0.2</v>
      </c>
      <c r="J72" s="3">
        <f t="shared" si="19"/>
        <v>0.11310000000000001</v>
      </c>
    </row>
    <row r="73" spans="3:13" x14ac:dyDescent="0.25">
      <c r="C73" s="1">
        <v>2.15</v>
      </c>
      <c r="D73" s="1">
        <v>0.5</v>
      </c>
      <c r="E73" s="1">
        <v>0.6</v>
      </c>
      <c r="F73" s="3">
        <f t="shared" si="17"/>
        <v>0.64499999999999991</v>
      </c>
      <c r="H73" s="3">
        <v>0.13</v>
      </c>
      <c r="I73" s="3">
        <f t="shared" si="18"/>
        <v>0.2</v>
      </c>
      <c r="J73" s="3">
        <f t="shared" si="19"/>
        <v>5.5899999999999998E-2</v>
      </c>
    </row>
    <row r="74" spans="3:13" x14ac:dyDescent="0.25">
      <c r="C74" s="1">
        <v>4.3499999999999996</v>
      </c>
      <c r="D74" s="1">
        <v>0.5</v>
      </c>
      <c r="E74" s="1">
        <v>0.6</v>
      </c>
      <c r="F74" s="3">
        <f t="shared" ref="F74:F77" si="20">C74*D74*E74</f>
        <v>1.3049999999999999</v>
      </c>
      <c r="H74" s="3">
        <v>0.13</v>
      </c>
      <c r="I74" s="3">
        <f t="shared" si="18"/>
        <v>0.2</v>
      </c>
      <c r="J74" s="3">
        <f t="shared" si="19"/>
        <v>0.11310000000000001</v>
      </c>
    </row>
    <row r="75" spans="3:13" x14ac:dyDescent="0.25">
      <c r="C75" s="1">
        <v>4.3499999999999996</v>
      </c>
      <c r="D75" s="1">
        <v>0.5</v>
      </c>
      <c r="E75" s="1">
        <v>0.6</v>
      </c>
      <c r="F75" s="3">
        <f t="shared" si="20"/>
        <v>1.3049999999999999</v>
      </c>
      <c r="H75" s="3">
        <v>0.13</v>
      </c>
      <c r="I75" s="3">
        <f t="shared" si="18"/>
        <v>0.2</v>
      </c>
      <c r="J75" s="3">
        <f t="shared" si="19"/>
        <v>0.11310000000000001</v>
      </c>
    </row>
    <row r="76" spans="3:13" x14ac:dyDescent="0.25">
      <c r="C76" s="1">
        <v>4.3499999999999996</v>
      </c>
      <c r="D76" s="1">
        <v>0.5</v>
      </c>
      <c r="E76" s="1">
        <v>0.6</v>
      </c>
      <c r="F76" s="3">
        <f t="shared" si="20"/>
        <v>1.3049999999999999</v>
      </c>
      <c r="H76" s="3">
        <v>0.13</v>
      </c>
      <c r="I76" s="3">
        <f t="shared" si="18"/>
        <v>0.2</v>
      </c>
      <c r="J76" s="3">
        <f t="shared" si="19"/>
        <v>0.11310000000000001</v>
      </c>
      <c r="M76" s="28"/>
    </row>
    <row r="77" spans="3:13" x14ac:dyDescent="0.25">
      <c r="C77" s="1">
        <v>4.3499999999999996</v>
      </c>
      <c r="D77" s="1">
        <v>0.5</v>
      </c>
      <c r="E77" s="1">
        <v>0.6</v>
      </c>
      <c r="F77" s="3">
        <f t="shared" si="20"/>
        <v>1.3049999999999999</v>
      </c>
      <c r="H77" s="3">
        <v>0.13</v>
      </c>
      <c r="I77" s="3">
        <f t="shared" si="18"/>
        <v>0.2</v>
      </c>
      <c r="J77" s="3">
        <f t="shared" si="19"/>
        <v>0.11310000000000001</v>
      </c>
      <c r="M77" s="28"/>
    </row>
    <row r="78" spans="3:13" x14ac:dyDescent="0.25">
      <c r="C78" s="1">
        <v>2.15</v>
      </c>
      <c r="D78" s="1">
        <v>0.5</v>
      </c>
      <c r="E78" s="1">
        <v>0.6</v>
      </c>
      <c r="F78" s="3">
        <f t="shared" ref="F78:F86" si="21">C78*D78*E78</f>
        <v>0.64499999999999991</v>
      </c>
      <c r="H78" s="3">
        <v>0.13</v>
      </c>
      <c r="I78" s="3">
        <f t="shared" si="18"/>
        <v>0.2</v>
      </c>
      <c r="J78" s="3">
        <f t="shared" si="19"/>
        <v>5.5899999999999998E-2</v>
      </c>
      <c r="M78" s="28"/>
    </row>
    <row r="79" spans="3:13" x14ac:dyDescent="0.25">
      <c r="C79" s="1">
        <v>3.6749999999999998</v>
      </c>
      <c r="D79" s="1">
        <v>0.5</v>
      </c>
      <c r="E79" s="1">
        <v>0.6</v>
      </c>
      <c r="F79" s="3">
        <f t="shared" si="21"/>
        <v>1.1024999999999998</v>
      </c>
      <c r="H79" s="3">
        <v>0.13</v>
      </c>
      <c r="I79" s="3">
        <f t="shared" si="18"/>
        <v>0.2</v>
      </c>
      <c r="J79" s="3">
        <f t="shared" si="19"/>
        <v>9.555000000000001E-2</v>
      </c>
      <c r="M79" s="28"/>
    </row>
    <row r="80" spans="3:13" x14ac:dyDescent="0.25">
      <c r="C80" s="1">
        <v>4.3499999999999996</v>
      </c>
      <c r="D80" s="1">
        <v>0.5</v>
      </c>
      <c r="E80" s="1">
        <v>0.6</v>
      </c>
      <c r="F80" s="3">
        <f t="shared" si="21"/>
        <v>1.3049999999999999</v>
      </c>
      <c r="H80" s="3">
        <v>0.13</v>
      </c>
      <c r="I80" s="3">
        <f t="shared" si="18"/>
        <v>0.2</v>
      </c>
      <c r="J80" s="3">
        <f t="shared" si="19"/>
        <v>0.11310000000000001</v>
      </c>
      <c r="M80" s="28"/>
    </row>
    <row r="81" spans="1:13" x14ac:dyDescent="0.25">
      <c r="C81" s="1">
        <v>4.3499999999999996</v>
      </c>
      <c r="D81" s="1">
        <v>0.5</v>
      </c>
      <c r="E81" s="1">
        <v>0.6</v>
      </c>
      <c r="F81" s="3">
        <f t="shared" si="21"/>
        <v>1.3049999999999999</v>
      </c>
      <c r="H81" s="3">
        <v>0.13</v>
      </c>
      <c r="I81" s="3">
        <f t="shared" si="18"/>
        <v>0.2</v>
      </c>
      <c r="J81" s="3">
        <f t="shared" si="19"/>
        <v>0.11310000000000001</v>
      </c>
      <c r="M81" s="3"/>
    </row>
    <row r="82" spans="1:13" x14ac:dyDescent="0.25">
      <c r="C82" s="1">
        <v>4.3499999999999996</v>
      </c>
      <c r="D82" s="1">
        <v>0.5</v>
      </c>
      <c r="E82" s="1">
        <v>0.6</v>
      </c>
      <c r="F82" s="3">
        <f t="shared" si="21"/>
        <v>1.3049999999999999</v>
      </c>
      <c r="H82" s="3">
        <v>0.13</v>
      </c>
      <c r="I82" s="3">
        <f t="shared" si="18"/>
        <v>0.2</v>
      </c>
      <c r="J82" s="3">
        <f t="shared" si="19"/>
        <v>0.11310000000000001</v>
      </c>
    </row>
    <row r="83" spans="1:13" x14ac:dyDescent="0.25">
      <c r="C83" s="1">
        <v>4.3499999999999996</v>
      </c>
      <c r="D83" s="1">
        <v>0.5</v>
      </c>
      <c r="E83" s="1">
        <v>0.6</v>
      </c>
      <c r="F83" s="3">
        <f t="shared" si="21"/>
        <v>1.3049999999999999</v>
      </c>
      <c r="H83" s="3">
        <v>0.13</v>
      </c>
      <c r="I83" s="3">
        <f t="shared" si="18"/>
        <v>0.2</v>
      </c>
      <c r="J83" s="3">
        <f t="shared" si="19"/>
        <v>0.11310000000000001</v>
      </c>
    </row>
    <row r="84" spans="1:13" x14ac:dyDescent="0.25">
      <c r="C84" s="1">
        <v>4.3499999999999996</v>
      </c>
      <c r="D84" s="1">
        <v>0.5</v>
      </c>
      <c r="E84" s="1">
        <v>0.6</v>
      </c>
      <c r="F84" s="3">
        <f t="shared" si="21"/>
        <v>1.3049999999999999</v>
      </c>
      <c r="H84" s="3">
        <v>0.13</v>
      </c>
      <c r="I84" s="3">
        <f t="shared" si="18"/>
        <v>0.2</v>
      </c>
      <c r="J84" s="3">
        <f t="shared" si="19"/>
        <v>0.11310000000000001</v>
      </c>
    </row>
    <row r="85" spans="1:13" x14ac:dyDescent="0.25">
      <c r="C85" s="1">
        <v>1.575</v>
      </c>
      <c r="D85" s="1">
        <v>0.5</v>
      </c>
      <c r="E85" s="1">
        <v>0.6</v>
      </c>
      <c r="F85" s="3">
        <f t="shared" si="21"/>
        <v>0.47249999999999998</v>
      </c>
      <c r="H85" s="3">
        <v>0.13</v>
      </c>
      <c r="I85" s="3">
        <f t="shared" si="18"/>
        <v>0.2</v>
      </c>
      <c r="J85" s="3">
        <f t="shared" si="19"/>
        <v>4.095E-2</v>
      </c>
    </row>
    <row r="86" spans="1:13" x14ac:dyDescent="0.25">
      <c r="C86" s="1">
        <v>4.3499999999999996</v>
      </c>
      <c r="D86" s="1">
        <v>0.5</v>
      </c>
      <c r="E86" s="1">
        <v>0.6</v>
      </c>
      <c r="F86" s="3">
        <f t="shared" si="21"/>
        <v>1.3049999999999999</v>
      </c>
      <c r="H86" s="3">
        <v>0.13</v>
      </c>
      <c r="I86" s="3">
        <f t="shared" si="18"/>
        <v>0.2</v>
      </c>
      <c r="J86" s="3">
        <f t="shared" si="19"/>
        <v>0.11310000000000001</v>
      </c>
    </row>
    <row r="87" spans="1:13" x14ac:dyDescent="0.25">
      <c r="C87" s="3">
        <f>SUM(C5:C86)</f>
        <v>334.96000000000009</v>
      </c>
      <c r="F87" s="4">
        <f>SUM(F5:F86)</f>
        <v>100.4880000000001</v>
      </c>
      <c r="G87" s="4"/>
      <c r="H87" s="4"/>
      <c r="I87" s="4"/>
      <c r="J87" s="4">
        <f>SUM(J5:J86)</f>
        <v>8.7089600000000011</v>
      </c>
      <c r="K87" s="4"/>
    </row>
    <row r="88" spans="1:13" x14ac:dyDescent="0.25">
      <c r="F88" s="4"/>
    </row>
    <row r="89" spans="1:13" x14ac:dyDescent="0.25">
      <c r="C89" s="3"/>
    </row>
    <row r="90" spans="1:13" x14ac:dyDescent="0.25">
      <c r="A90" s="2"/>
      <c r="C90" s="3"/>
      <c r="D90" s="3"/>
      <c r="E90" s="3"/>
    </row>
    <row r="91" spans="1:13" ht="12.75" customHeight="1" x14ac:dyDescent="0.25">
      <c r="C91" s="3">
        <v>0.9</v>
      </c>
      <c r="D91" s="3">
        <v>0.13</v>
      </c>
      <c r="E91" s="3">
        <v>0.2</v>
      </c>
      <c r="F91" s="3">
        <f>C91*D91*E91</f>
        <v>2.3400000000000004E-2</v>
      </c>
    </row>
    <row r="92" spans="1:13" x14ac:dyDescent="0.25">
      <c r="A92" s="2"/>
      <c r="C92" s="3">
        <v>0.9</v>
      </c>
      <c r="D92" s="3">
        <v>0.13</v>
      </c>
      <c r="E92" s="3">
        <v>0.2</v>
      </c>
      <c r="F92" s="3">
        <f>C92*D92*E92</f>
        <v>2.3400000000000004E-2</v>
      </c>
    </row>
    <row r="93" spans="1:13" x14ac:dyDescent="0.25">
      <c r="C93" s="3">
        <v>0.9</v>
      </c>
      <c r="D93" s="3">
        <v>0.13</v>
      </c>
      <c r="E93" s="3">
        <v>0.2</v>
      </c>
      <c r="F93" s="3">
        <f>C93*D93*E93</f>
        <v>2.3400000000000004E-2</v>
      </c>
    </row>
    <row r="94" spans="1:13" x14ac:dyDescent="0.25">
      <c r="C94" s="3"/>
      <c r="D94" s="3"/>
      <c r="E94" s="3"/>
      <c r="F94" s="4">
        <f>SUM(F91:F93)</f>
        <v>7.0200000000000012E-2</v>
      </c>
    </row>
    <row r="96" spans="1:13" x14ac:dyDescent="0.25">
      <c r="F96" s="3">
        <f>F87-F94+J87</f>
        <v>109.1267600000001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F32B-44CA-4A5D-89D9-672964DED0C9}">
  <dimension ref="A3:Z89"/>
  <sheetViews>
    <sheetView zoomScale="70" zoomScaleNormal="70" workbookViewId="0">
      <selection activeCell="A89" sqref="A89"/>
    </sheetView>
  </sheetViews>
  <sheetFormatPr defaultRowHeight="15" x14ac:dyDescent="0.25"/>
  <cols>
    <col min="2" max="2" width="20.7109375" customWidth="1"/>
    <col min="3" max="5" width="9.140625" style="1"/>
    <col min="6" max="8" width="9.140625" style="3"/>
    <col min="9" max="9" width="17.7109375" customWidth="1"/>
    <col min="10" max="12" width="9.140625" style="1"/>
    <col min="13" max="13" width="9.140625" style="3"/>
    <col min="15" max="15" width="21" customWidth="1"/>
    <col min="16" max="18" width="9.140625" style="1"/>
    <col min="21" max="21" width="18.85546875" customWidth="1"/>
    <col min="22" max="24" width="9.140625" style="1"/>
    <col min="25" max="25" width="9.140625" style="3"/>
  </cols>
  <sheetData>
    <row r="3" spans="2:26" x14ac:dyDescent="0.25">
      <c r="S3" s="3"/>
    </row>
    <row r="4" spans="2:26" x14ac:dyDescent="0.25">
      <c r="S4" s="3"/>
    </row>
    <row r="5" spans="2:26" x14ac:dyDescent="0.25">
      <c r="B5" t="s">
        <v>9</v>
      </c>
      <c r="C5" s="1">
        <f>5.75</f>
        <v>5.75</v>
      </c>
      <c r="D5" s="1">
        <f>0.5+0.1+0.1</f>
        <v>0.7</v>
      </c>
      <c r="E5" s="1">
        <v>0.1</v>
      </c>
      <c r="F5" s="3">
        <f>G5*D5*E5</f>
        <v>0.38850000000000001</v>
      </c>
      <c r="G5" s="3">
        <f>C5-0.2</f>
        <v>5.55</v>
      </c>
      <c r="I5" t="s">
        <v>10</v>
      </c>
      <c r="J5" s="1">
        <f>5.175-0.825</f>
        <v>4.3499999999999996</v>
      </c>
      <c r="K5" s="1">
        <f>0.18+0.67+0.1+0.1</f>
        <v>1.05</v>
      </c>
      <c r="L5" s="1">
        <v>0.1</v>
      </c>
      <c r="M5" s="3">
        <f>N5*K5*L5</f>
        <v>0.43575000000000003</v>
      </c>
      <c r="N5">
        <f>J5-0.2</f>
        <v>4.1499999999999995</v>
      </c>
      <c r="O5" t="s">
        <v>11</v>
      </c>
      <c r="P5" s="1">
        <v>4.3499999999999996</v>
      </c>
      <c r="Q5" s="1">
        <f>0.6+0.1+0.1</f>
        <v>0.79999999999999993</v>
      </c>
      <c r="R5" s="1">
        <v>0.1</v>
      </c>
      <c r="S5" s="3">
        <f>T5*Q5*R5</f>
        <v>0.33199999999999996</v>
      </c>
      <c r="T5">
        <f>P5-0.2</f>
        <v>4.1499999999999995</v>
      </c>
      <c r="U5" t="s">
        <v>12</v>
      </c>
      <c r="V5" s="1">
        <v>2.15</v>
      </c>
      <c r="W5" s="1">
        <f>0.5+0.1+0.1</f>
        <v>0.7</v>
      </c>
      <c r="X5" s="1">
        <v>0.1</v>
      </c>
      <c r="Y5" s="3">
        <f>Z5*W5*X5</f>
        <v>0.13650000000000001</v>
      </c>
      <c r="Z5">
        <f>V5-0.2</f>
        <v>1.95</v>
      </c>
    </row>
    <row r="6" spans="2:26" x14ac:dyDescent="0.25">
      <c r="C6" s="1">
        <v>2.85</v>
      </c>
      <c r="D6" s="1">
        <f t="shared" ref="D6:D69" si="0">0.5+0.1+0.1</f>
        <v>0.7</v>
      </c>
      <c r="E6" s="1">
        <v>0.1</v>
      </c>
      <c r="F6" s="3">
        <f t="shared" ref="F6:F69" si="1">G6*D6*E6</f>
        <v>0.1855</v>
      </c>
      <c r="G6" s="3">
        <f t="shared" ref="G6:G69" si="2">C6-0.2</f>
        <v>2.65</v>
      </c>
      <c r="J6" s="1">
        <f>5.175-0.825</f>
        <v>4.3499999999999996</v>
      </c>
      <c r="K6" s="1">
        <f t="shared" ref="K6:K14" si="3">0.18+0.67+0.1+0.1</f>
        <v>1.05</v>
      </c>
      <c r="L6" s="1">
        <v>0.1</v>
      </c>
      <c r="M6" s="3">
        <f t="shared" ref="M6:M14" si="4">N6*K6*L6</f>
        <v>0.43575000000000003</v>
      </c>
      <c r="N6">
        <f t="shared" ref="N6:N14" si="5">J6-0.2</f>
        <v>4.1499999999999995</v>
      </c>
      <c r="P6" s="1">
        <v>4.3499999999999996</v>
      </c>
      <c r="Q6" s="1">
        <f>0.6+0.1+0.1</f>
        <v>0.79999999999999993</v>
      </c>
      <c r="R6" s="1">
        <v>0.1</v>
      </c>
      <c r="S6" s="3">
        <f>T6*Q6*R6</f>
        <v>0.33199999999999996</v>
      </c>
      <c r="T6">
        <f>P6-0.2</f>
        <v>4.1499999999999995</v>
      </c>
      <c r="V6" s="1">
        <v>2.15</v>
      </c>
      <c r="W6" s="1">
        <f t="shared" ref="W6:W10" si="6">0.5+0.1+0.1</f>
        <v>0.7</v>
      </c>
      <c r="X6" s="1">
        <v>0.1</v>
      </c>
      <c r="Y6" s="3">
        <f t="shared" ref="Y6:Y10" si="7">Z6*W6*X6</f>
        <v>0.13650000000000001</v>
      </c>
      <c r="Z6">
        <f t="shared" ref="Z6:Z10" si="8">V6-0.2</f>
        <v>1.95</v>
      </c>
    </row>
    <row r="7" spans="2:26" x14ac:dyDescent="0.25">
      <c r="C7" s="1">
        <v>4.4749999999999996</v>
      </c>
      <c r="D7" s="1">
        <f t="shared" si="0"/>
        <v>0.7</v>
      </c>
      <c r="E7" s="1">
        <v>0.1</v>
      </c>
      <c r="F7" s="3">
        <f t="shared" si="1"/>
        <v>0.29924999999999996</v>
      </c>
      <c r="G7" s="3">
        <f t="shared" si="2"/>
        <v>4.2749999999999995</v>
      </c>
      <c r="J7" s="1">
        <v>4.3499999999999996</v>
      </c>
      <c r="K7" s="1">
        <f t="shared" si="3"/>
        <v>1.05</v>
      </c>
      <c r="L7" s="1">
        <v>0.1</v>
      </c>
      <c r="M7" s="3">
        <f t="shared" si="4"/>
        <v>0.43575000000000003</v>
      </c>
      <c r="N7">
        <f t="shared" si="5"/>
        <v>4.1499999999999995</v>
      </c>
      <c r="P7" s="18">
        <f>SUM(P5:P6)</f>
        <v>8.6999999999999993</v>
      </c>
      <c r="S7" s="4">
        <f>SUM(S5:S6)</f>
        <v>0.66399999999999992</v>
      </c>
      <c r="V7" s="1">
        <v>2.15</v>
      </c>
      <c r="W7" s="1">
        <f t="shared" si="6"/>
        <v>0.7</v>
      </c>
      <c r="X7" s="1">
        <v>0.1</v>
      </c>
      <c r="Y7" s="3">
        <f t="shared" si="7"/>
        <v>0.13650000000000001</v>
      </c>
      <c r="Z7">
        <f t="shared" si="8"/>
        <v>1.95</v>
      </c>
    </row>
    <row r="8" spans="2:26" x14ac:dyDescent="0.25">
      <c r="C8" s="1">
        <v>3.7749999999999999</v>
      </c>
      <c r="D8" s="1">
        <f t="shared" si="0"/>
        <v>0.7</v>
      </c>
      <c r="E8" s="1">
        <v>0.1</v>
      </c>
      <c r="F8" s="3">
        <f t="shared" si="1"/>
        <v>0.25024999999999997</v>
      </c>
      <c r="G8" s="3">
        <f t="shared" si="2"/>
        <v>3.5749999999999997</v>
      </c>
      <c r="J8" s="1">
        <v>4.3499999999999996</v>
      </c>
      <c r="K8" s="1">
        <f t="shared" si="3"/>
        <v>1.05</v>
      </c>
      <c r="L8" s="1">
        <v>0.1</v>
      </c>
      <c r="M8" s="3">
        <f t="shared" si="4"/>
        <v>0.43575000000000003</v>
      </c>
      <c r="N8">
        <f t="shared" si="5"/>
        <v>4.1499999999999995</v>
      </c>
      <c r="S8" s="3"/>
      <c r="V8" s="1">
        <v>2.85</v>
      </c>
      <c r="W8" s="1">
        <f t="shared" si="6"/>
        <v>0.7</v>
      </c>
      <c r="X8" s="1">
        <v>0.1</v>
      </c>
      <c r="Y8" s="3">
        <f t="shared" si="7"/>
        <v>0.1855</v>
      </c>
      <c r="Z8">
        <f t="shared" si="8"/>
        <v>2.65</v>
      </c>
    </row>
    <row r="9" spans="2:26" x14ac:dyDescent="0.25">
      <c r="C9" s="1">
        <v>4.3499999999999996</v>
      </c>
      <c r="D9" s="1">
        <f t="shared" si="0"/>
        <v>0.7</v>
      </c>
      <c r="E9" s="1">
        <v>0.1</v>
      </c>
      <c r="F9" s="3">
        <f t="shared" si="1"/>
        <v>0.29049999999999992</v>
      </c>
      <c r="G9" s="3">
        <f t="shared" si="2"/>
        <v>4.1499999999999995</v>
      </c>
      <c r="J9" s="1">
        <f>6-0.825-0.825</f>
        <v>4.3499999999999996</v>
      </c>
      <c r="K9" s="1">
        <f t="shared" si="3"/>
        <v>1.05</v>
      </c>
      <c r="L9" s="1">
        <v>0.1</v>
      </c>
      <c r="M9" s="3">
        <f t="shared" si="4"/>
        <v>0.43575000000000003</v>
      </c>
      <c r="N9">
        <f t="shared" si="5"/>
        <v>4.1499999999999995</v>
      </c>
      <c r="S9" s="3"/>
      <c r="V9" s="1">
        <v>2.85</v>
      </c>
      <c r="W9" s="1">
        <f t="shared" si="6"/>
        <v>0.7</v>
      </c>
      <c r="X9" s="1">
        <v>0.1</v>
      </c>
      <c r="Y9" s="3">
        <f t="shared" si="7"/>
        <v>0.1855</v>
      </c>
      <c r="Z9">
        <f t="shared" si="8"/>
        <v>2.65</v>
      </c>
    </row>
    <row r="10" spans="2:26" x14ac:dyDescent="0.25">
      <c r="C10" s="1">
        <v>4.3499999999999996</v>
      </c>
      <c r="D10" s="1">
        <f t="shared" si="0"/>
        <v>0.7</v>
      </c>
      <c r="E10" s="1">
        <v>0.1</v>
      </c>
      <c r="F10" s="3">
        <f t="shared" si="1"/>
        <v>0.29049999999999992</v>
      </c>
      <c r="G10" s="3">
        <f t="shared" si="2"/>
        <v>4.1499999999999995</v>
      </c>
      <c r="J10" s="1">
        <f>6-0.825-0.825</f>
        <v>4.3499999999999996</v>
      </c>
      <c r="K10" s="1">
        <f t="shared" si="3"/>
        <v>1.05</v>
      </c>
      <c r="L10" s="1">
        <v>0.1</v>
      </c>
      <c r="M10" s="3">
        <f t="shared" si="4"/>
        <v>0.43575000000000003</v>
      </c>
      <c r="N10">
        <f t="shared" si="5"/>
        <v>4.1499999999999995</v>
      </c>
      <c r="P10" s="19"/>
      <c r="S10" s="3"/>
      <c r="V10" s="1">
        <v>2.85</v>
      </c>
      <c r="W10" s="1">
        <f t="shared" si="6"/>
        <v>0.7</v>
      </c>
      <c r="X10" s="1">
        <v>0.1</v>
      </c>
      <c r="Y10" s="3">
        <f t="shared" si="7"/>
        <v>0.1855</v>
      </c>
      <c r="Z10">
        <f t="shared" si="8"/>
        <v>2.65</v>
      </c>
    </row>
    <row r="11" spans="2:26" x14ac:dyDescent="0.25">
      <c r="C11" s="1">
        <v>4.3499999999999996</v>
      </c>
      <c r="D11" s="1">
        <f t="shared" si="0"/>
        <v>0.7</v>
      </c>
      <c r="E11" s="1">
        <v>0.1</v>
      </c>
      <c r="F11" s="3">
        <f t="shared" si="1"/>
        <v>0.29049999999999992</v>
      </c>
      <c r="G11" s="3">
        <f t="shared" si="2"/>
        <v>4.1499999999999995</v>
      </c>
      <c r="J11" s="1">
        <v>5.75</v>
      </c>
      <c r="K11" s="1">
        <f t="shared" si="3"/>
        <v>1.05</v>
      </c>
      <c r="L11" s="1">
        <v>0.1</v>
      </c>
      <c r="M11" s="3">
        <f t="shared" si="4"/>
        <v>0.58274999999999999</v>
      </c>
      <c r="N11">
        <f t="shared" si="5"/>
        <v>5.55</v>
      </c>
      <c r="S11" s="3"/>
      <c r="V11" s="18">
        <f>SUM(V5:V10)</f>
        <v>14.999999999999998</v>
      </c>
      <c r="Y11" s="4">
        <f>SUM(Y5:Y10)</f>
        <v>0.96599999999999997</v>
      </c>
    </row>
    <row r="12" spans="2:26" x14ac:dyDescent="0.25">
      <c r="C12" s="1">
        <v>4.3499999999999996</v>
      </c>
      <c r="D12" s="1">
        <f t="shared" si="0"/>
        <v>0.7</v>
      </c>
      <c r="E12" s="1">
        <v>0.1</v>
      </c>
      <c r="F12" s="3">
        <f t="shared" si="1"/>
        <v>0.29049999999999992</v>
      </c>
      <c r="G12" s="3">
        <f t="shared" si="2"/>
        <v>4.1499999999999995</v>
      </c>
      <c r="J12" s="1">
        <v>5.75</v>
      </c>
      <c r="K12" s="1">
        <f t="shared" si="3"/>
        <v>1.05</v>
      </c>
      <c r="L12" s="1">
        <v>0.1</v>
      </c>
      <c r="M12" s="3">
        <f t="shared" si="4"/>
        <v>0.58274999999999999</v>
      </c>
      <c r="N12">
        <f t="shared" si="5"/>
        <v>5.55</v>
      </c>
      <c r="S12" s="3"/>
    </row>
    <row r="13" spans="2:26" x14ac:dyDescent="0.25">
      <c r="C13" s="1">
        <v>4.3499999999999996</v>
      </c>
      <c r="D13" s="1">
        <f t="shared" si="0"/>
        <v>0.7</v>
      </c>
      <c r="E13" s="1">
        <v>0.1</v>
      </c>
      <c r="F13" s="3">
        <f t="shared" si="1"/>
        <v>0.29049999999999992</v>
      </c>
      <c r="G13" s="3">
        <f t="shared" si="2"/>
        <v>4.1499999999999995</v>
      </c>
      <c r="J13" s="1">
        <v>5.85</v>
      </c>
      <c r="K13" s="1">
        <f t="shared" si="3"/>
        <v>1.05</v>
      </c>
      <c r="L13" s="1">
        <v>0.1</v>
      </c>
      <c r="M13" s="3">
        <f t="shared" si="4"/>
        <v>0.59325000000000006</v>
      </c>
      <c r="N13">
        <f t="shared" si="5"/>
        <v>5.6499999999999995</v>
      </c>
      <c r="S13" s="3"/>
    </row>
    <row r="14" spans="2:26" x14ac:dyDescent="0.25">
      <c r="C14" s="1">
        <v>4.3499999999999996</v>
      </c>
      <c r="D14" s="1">
        <f t="shared" si="0"/>
        <v>0.7</v>
      </c>
      <c r="E14" s="1">
        <v>0.1</v>
      </c>
      <c r="F14" s="3">
        <f t="shared" si="1"/>
        <v>0.29049999999999992</v>
      </c>
      <c r="G14" s="3">
        <f t="shared" si="2"/>
        <v>4.1499999999999995</v>
      </c>
      <c r="J14" s="1">
        <v>5.85</v>
      </c>
      <c r="K14" s="1">
        <f t="shared" si="3"/>
        <v>1.05</v>
      </c>
      <c r="L14" s="1">
        <v>0.1</v>
      </c>
      <c r="M14" s="3">
        <f t="shared" si="4"/>
        <v>0.59325000000000006</v>
      </c>
      <c r="N14">
        <f t="shared" si="5"/>
        <v>5.6499999999999995</v>
      </c>
      <c r="S14" s="3"/>
    </row>
    <row r="15" spans="2:26" x14ac:dyDescent="0.25">
      <c r="C15" s="1">
        <v>4.3499999999999996</v>
      </c>
      <c r="D15" s="1">
        <f t="shared" si="0"/>
        <v>0.7</v>
      </c>
      <c r="E15" s="1">
        <v>0.1</v>
      </c>
      <c r="F15" s="3">
        <f t="shared" si="1"/>
        <v>0.29049999999999992</v>
      </c>
      <c r="G15" s="3">
        <f t="shared" si="2"/>
        <v>4.1499999999999995</v>
      </c>
      <c r="J15" s="18">
        <f>SUM(J5:J14)</f>
        <v>49.300000000000004</v>
      </c>
      <c r="M15" s="4">
        <f>SUM(M5:M14)</f>
        <v>4.9664999999999999</v>
      </c>
      <c r="S15" s="3"/>
    </row>
    <row r="16" spans="2:26" x14ac:dyDescent="0.25">
      <c r="C16" s="1">
        <v>4.3499999999999996</v>
      </c>
      <c r="D16" s="1">
        <f t="shared" si="0"/>
        <v>0.7</v>
      </c>
      <c r="E16" s="1">
        <v>0.1</v>
      </c>
      <c r="F16" s="3">
        <f t="shared" si="1"/>
        <v>0.29049999999999992</v>
      </c>
      <c r="G16" s="3">
        <f t="shared" si="2"/>
        <v>4.1499999999999995</v>
      </c>
      <c r="S16" s="3"/>
    </row>
    <row r="17" spans="3:19" x14ac:dyDescent="0.25">
      <c r="C17" s="1">
        <v>4.3499999999999996</v>
      </c>
      <c r="D17" s="1">
        <f t="shared" si="0"/>
        <v>0.7</v>
      </c>
      <c r="E17" s="1">
        <v>0.1</v>
      </c>
      <c r="F17" s="3">
        <f t="shared" si="1"/>
        <v>0.29049999999999992</v>
      </c>
      <c r="G17" s="3">
        <f t="shared" si="2"/>
        <v>4.1499999999999995</v>
      </c>
      <c r="S17" s="3"/>
    </row>
    <row r="18" spans="3:19" x14ac:dyDescent="0.25">
      <c r="C18" s="1">
        <v>4.3499999999999996</v>
      </c>
      <c r="D18" s="1">
        <f t="shared" si="0"/>
        <v>0.7</v>
      </c>
      <c r="E18" s="1">
        <v>0.1</v>
      </c>
      <c r="F18" s="3">
        <f t="shared" si="1"/>
        <v>0.29049999999999992</v>
      </c>
      <c r="G18" s="3">
        <f t="shared" si="2"/>
        <v>4.1499999999999995</v>
      </c>
      <c r="S18" s="3"/>
    </row>
    <row r="19" spans="3:19" x14ac:dyDescent="0.25">
      <c r="C19" s="1">
        <v>4.3499999999999996</v>
      </c>
      <c r="D19" s="1">
        <f t="shared" si="0"/>
        <v>0.7</v>
      </c>
      <c r="E19" s="1">
        <v>0.1</v>
      </c>
      <c r="F19" s="3">
        <f t="shared" si="1"/>
        <v>0.29049999999999992</v>
      </c>
      <c r="G19" s="3">
        <f t="shared" si="2"/>
        <v>4.1499999999999995</v>
      </c>
      <c r="S19" s="3"/>
    </row>
    <row r="20" spans="3:19" x14ac:dyDescent="0.25">
      <c r="C20" s="1">
        <v>4.3499999999999996</v>
      </c>
      <c r="D20" s="1">
        <f t="shared" si="0"/>
        <v>0.7</v>
      </c>
      <c r="E20" s="1">
        <v>0.1</v>
      </c>
      <c r="F20" s="3">
        <f t="shared" si="1"/>
        <v>0.29049999999999992</v>
      </c>
      <c r="G20" s="3">
        <f t="shared" si="2"/>
        <v>4.1499999999999995</v>
      </c>
      <c r="S20" s="3"/>
    </row>
    <row r="21" spans="3:19" x14ac:dyDescent="0.25">
      <c r="C21" s="1">
        <v>4.3499999999999996</v>
      </c>
      <c r="D21" s="1">
        <f t="shared" si="0"/>
        <v>0.7</v>
      </c>
      <c r="E21" s="1">
        <v>0.1</v>
      </c>
      <c r="F21" s="3">
        <f t="shared" si="1"/>
        <v>0.29049999999999992</v>
      </c>
      <c r="G21" s="3">
        <f t="shared" si="2"/>
        <v>4.1499999999999995</v>
      </c>
      <c r="S21" s="3"/>
    </row>
    <row r="22" spans="3:19" x14ac:dyDescent="0.25">
      <c r="C22" s="1">
        <v>2.85</v>
      </c>
      <c r="D22" s="1">
        <f t="shared" si="0"/>
        <v>0.7</v>
      </c>
      <c r="E22" s="1">
        <v>0.1</v>
      </c>
      <c r="F22" s="3">
        <f t="shared" si="1"/>
        <v>0.1855</v>
      </c>
      <c r="G22" s="3">
        <f t="shared" si="2"/>
        <v>2.65</v>
      </c>
      <c r="S22" s="3"/>
    </row>
    <row r="23" spans="3:19" x14ac:dyDescent="0.25">
      <c r="C23" s="1">
        <v>2.15</v>
      </c>
      <c r="D23" s="1">
        <f t="shared" si="0"/>
        <v>0.7</v>
      </c>
      <c r="E23" s="1">
        <v>0.1</v>
      </c>
      <c r="F23" s="3">
        <f t="shared" si="1"/>
        <v>0.13650000000000001</v>
      </c>
      <c r="G23" s="3">
        <f t="shared" si="2"/>
        <v>1.95</v>
      </c>
      <c r="S23" s="3"/>
    </row>
    <row r="24" spans="3:19" x14ac:dyDescent="0.25">
      <c r="C24" s="1">
        <v>4.3499999999999996</v>
      </c>
      <c r="D24" s="1">
        <f t="shared" si="0"/>
        <v>0.7</v>
      </c>
      <c r="E24" s="1">
        <v>0.1</v>
      </c>
      <c r="F24" s="3">
        <f t="shared" si="1"/>
        <v>0.29049999999999992</v>
      </c>
      <c r="G24" s="3">
        <f t="shared" si="2"/>
        <v>4.1499999999999995</v>
      </c>
      <c r="S24" s="3"/>
    </row>
    <row r="25" spans="3:19" x14ac:dyDescent="0.25">
      <c r="C25" s="1">
        <v>4.3499999999999996</v>
      </c>
      <c r="D25" s="1">
        <f t="shared" si="0"/>
        <v>0.7</v>
      </c>
      <c r="E25" s="1">
        <v>0.1</v>
      </c>
      <c r="F25" s="3">
        <f t="shared" si="1"/>
        <v>0.29049999999999992</v>
      </c>
      <c r="G25" s="3">
        <f t="shared" si="2"/>
        <v>4.1499999999999995</v>
      </c>
    </row>
    <row r="26" spans="3:19" x14ac:dyDescent="0.25">
      <c r="C26" s="1">
        <v>4.3499999999999996</v>
      </c>
      <c r="D26" s="1">
        <f t="shared" si="0"/>
        <v>0.7</v>
      </c>
      <c r="E26" s="1">
        <v>0.1</v>
      </c>
      <c r="F26" s="3">
        <f t="shared" si="1"/>
        <v>0.29049999999999992</v>
      </c>
      <c r="G26" s="3">
        <f t="shared" si="2"/>
        <v>4.1499999999999995</v>
      </c>
    </row>
    <row r="27" spans="3:19" x14ac:dyDescent="0.25">
      <c r="C27" s="1">
        <v>4.3499999999999996</v>
      </c>
      <c r="D27" s="1">
        <f t="shared" si="0"/>
        <v>0.7</v>
      </c>
      <c r="E27" s="1">
        <v>0.1</v>
      </c>
      <c r="F27" s="3">
        <f t="shared" si="1"/>
        <v>0.29049999999999992</v>
      </c>
      <c r="G27" s="3">
        <f t="shared" si="2"/>
        <v>4.1499999999999995</v>
      </c>
    </row>
    <row r="28" spans="3:19" x14ac:dyDescent="0.25">
      <c r="C28" s="1">
        <v>4.3499999999999996</v>
      </c>
      <c r="D28" s="1">
        <f t="shared" si="0"/>
        <v>0.7</v>
      </c>
      <c r="E28" s="1">
        <v>0.1</v>
      </c>
      <c r="F28" s="3">
        <f t="shared" si="1"/>
        <v>0.29049999999999992</v>
      </c>
      <c r="G28" s="3">
        <f t="shared" si="2"/>
        <v>4.1499999999999995</v>
      </c>
    </row>
    <row r="29" spans="3:19" x14ac:dyDescent="0.25">
      <c r="C29" s="1">
        <v>2.15</v>
      </c>
      <c r="D29" s="1">
        <f t="shared" si="0"/>
        <v>0.7</v>
      </c>
      <c r="E29" s="1">
        <v>0.1</v>
      </c>
      <c r="F29" s="3">
        <f t="shared" si="1"/>
        <v>0.13650000000000001</v>
      </c>
      <c r="G29" s="3">
        <f t="shared" si="2"/>
        <v>1.95</v>
      </c>
    </row>
    <row r="30" spans="3:19" x14ac:dyDescent="0.25">
      <c r="C30" s="1">
        <v>2.85</v>
      </c>
      <c r="D30" s="1">
        <f t="shared" si="0"/>
        <v>0.7</v>
      </c>
      <c r="E30" s="1">
        <v>0.1</v>
      </c>
      <c r="F30" s="3">
        <f t="shared" si="1"/>
        <v>0.1855</v>
      </c>
      <c r="G30" s="3">
        <f t="shared" si="2"/>
        <v>2.65</v>
      </c>
    </row>
    <row r="31" spans="3:19" x14ac:dyDescent="0.25">
      <c r="C31" s="1">
        <v>5.75</v>
      </c>
      <c r="D31" s="1">
        <f t="shared" si="0"/>
        <v>0.7</v>
      </c>
      <c r="E31" s="1">
        <v>0.1</v>
      </c>
      <c r="F31" s="3">
        <f t="shared" si="1"/>
        <v>0.38850000000000001</v>
      </c>
      <c r="G31" s="3">
        <f t="shared" si="2"/>
        <v>5.55</v>
      </c>
    </row>
    <row r="32" spans="3:19" x14ac:dyDescent="0.25">
      <c r="C32" s="1">
        <v>4.3499999999999996</v>
      </c>
      <c r="D32" s="1">
        <f t="shared" si="0"/>
        <v>0.7</v>
      </c>
      <c r="E32" s="1">
        <v>0.1</v>
      </c>
      <c r="F32" s="3">
        <f t="shared" si="1"/>
        <v>0.29049999999999992</v>
      </c>
      <c r="G32" s="3">
        <f t="shared" si="2"/>
        <v>4.1499999999999995</v>
      </c>
    </row>
    <row r="33" spans="3:7" x14ac:dyDescent="0.25">
      <c r="C33" s="1">
        <v>4.3499999999999996</v>
      </c>
      <c r="D33" s="1">
        <f t="shared" si="0"/>
        <v>0.7</v>
      </c>
      <c r="E33" s="1">
        <v>0.1</v>
      </c>
      <c r="F33" s="3">
        <f t="shared" si="1"/>
        <v>0.29049999999999992</v>
      </c>
      <c r="G33" s="3">
        <f t="shared" si="2"/>
        <v>4.1499999999999995</v>
      </c>
    </row>
    <row r="34" spans="3:7" x14ac:dyDescent="0.25">
      <c r="C34" s="1">
        <v>4.3499999999999996</v>
      </c>
      <c r="D34" s="1">
        <f t="shared" si="0"/>
        <v>0.7</v>
      </c>
      <c r="E34" s="1">
        <v>0.1</v>
      </c>
      <c r="F34" s="3">
        <f t="shared" si="1"/>
        <v>0.29049999999999992</v>
      </c>
      <c r="G34" s="3">
        <f t="shared" si="2"/>
        <v>4.1499999999999995</v>
      </c>
    </row>
    <row r="35" spans="3:7" x14ac:dyDescent="0.25">
      <c r="C35" s="1">
        <v>2.85</v>
      </c>
      <c r="D35" s="1">
        <f t="shared" si="0"/>
        <v>0.7</v>
      </c>
      <c r="E35" s="1">
        <v>0.1</v>
      </c>
      <c r="F35" s="3">
        <f t="shared" si="1"/>
        <v>0.1855</v>
      </c>
      <c r="G35" s="3">
        <f t="shared" si="2"/>
        <v>2.65</v>
      </c>
    </row>
    <row r="36" spans="3:7" x14ac:dyDescent="0.25">
      <c r="C36" s="1">
        <v>5.9749999999999996</v>
      </c>
      <c r="D36" s="1">
        <f t="shared" si="0"/>
        <v>0.7</v>
      </c>
      <c r="E36" s="1">
        <v>0.1</v>
      </c>
      <c r="F36" s="3">
        <f t="shared" si="1"/>
        <v>0.40425</v>
      </c>
      <c r="G36" s="3">
        <f t="shared" si="2"/>
        <v>5.7749999999999995</v>
      </c>
    </row>
    <row r="37" spans="3:7" x14ac:dyDescent="0.25">
      <c r="C37" s="1">
        <v>3.7749999999999999</v>
      </c>
      <c r="D37" s="1">
        <f t="shared" si="0"/>
        <v>0.7</v>
      </c>
      <c r="E37" s="1">
        <v>0.1</v>
      </c>
      <c r="F37" s="3">
        <f t="shared" si="1"/>
        <v>0.25024999999999997</v>
      </c>
      <c r="G37" s="3">
        <f t="shared" si="2"/>
        <v>3.5749999999999997</v>
      </c>
    </row>
    <row r="38" spans="3:7" x14ac:dyDescent="0.25">
      <c r="C38" s="1">
        <v>4.3499999999999996</v>
      </c>
      <c r="D38" s="1">
        <f t="shared" si="0"/>
        <v>0.7</v>
      </c>
      <c r="E38" s="1">
        <v>0.1</v>
      </c>
      <c r="F38" s="3">
        <f t="shared" si="1"/>
        <v>0.29049999999999992</v>
      </c>
      <c r="G38" s="3">
        <f t="shared" si="2"/>
        <v>4.1499999999999995</v>
      </c>
    </row>
    <row r="39" spans="3:7" x14ac:dyDescent="0.25">
      <c r="C39" s="1">
        <v>4.3499999999999996</v>
      </c>
      <c r="D39" s="1">
        <f t="shared" si="0"/>
        <v>0.7</v>
      </c>
      <c r="E39" s="1">
        <v>0.1</v>
      </c>
      <c r="F39" s="3">
        <f t="shared" si="1"/>
        <v>0.29049999999999992</v>
      </c>
      <c r="G39" s="3">
        <f t="shared" si="2"/>
        <v>4.1499999999999995</v>
      </c>
    </row>
    <row r="40" spans="3:7" x14ac:dyDescent="0.25">
      <c r="C40" s="1">
        <v>4.3499999999999996</v>
      </c>
      <c r="D40" s="1">
        <f t="shared" si="0"/>
        <v>0.7</v>
      </c>
      <c r="E40" s="1">
        <v>0.1</v>
      </c>
      <c r="F40" s="3">
        <f t="shared" si="1"/>
        <v>0.29049999999999992</v>
      </c>
      <c r="G40" s="3">
        <f t="shared" si="2"/>
        <v>4.1499999999999995</v>
      </c>
    </row>
    <row r="41" spans="3:7" x14ac:dyDescent="0.25">
      <c r="C41" s="1">
        <v>4.3499999999999996</v>
      </c>
      <c r="D41" s="1">
        <f t="shared" si="0"/>
        <v>0.7</v>
      </c>
      <c r="E41" s="1">
        <v>0.1</v>
      </c>
      <c r="F41" s="3">
        <f t="shared" si="1"/>
        <v>0.29049999999999992</v>
      </c>
      <c r="G41" s="3">
        <f t="shared" si="2"/>
        <v>4.1499999999999995</v>
      </c>
    </row>
    <row r="42" spans="3:7" x14ac:dyDescent="0.25">
      <c r="C42" s="1">
        <v>4.3499999999999996</v>
      </c>
      <c r="D42" s="1">
        <f t="shared" si="0"/>
        <v>0.7</v>
      </c>
      <c r="E42" s="1">
        <v>0.1</v>
      </c>
      <c r="F42" s="3">
        <f t="shared" si="1"/>
        <v>0.29049999999999992</v>
      </c>
      <c r="G42" s="3">
        <f t="shared" si="2"/>
        <v>4.1499999999999995</v>
      </c>
    </row>
    <row r="43" spans="3:7" x14ac:dyDescent="0.25">
      <c r="C43" s="1">
        <v>4.3499999999999996</v>
      </c>
      <c r="D43" s="1">
        <f t="shared" si="0"/>
        <v>0.7</v>
      </c>
      <c r="E43" s="1">
        <v>0.1</v>
      </c>
      <c r="F43" s="3">
        <f t="shared" si="1"/>
        <v>0.29049999999999992</v>
      </c>
      <c r="G43" s="3">
        <f t="shared" si="2"/>
        <v>4.1499999999999995</v>
      </c>
    </row>
    <row r="44" spans="3:7" x14ac:dyDescent="0.25">
      <c r="C44" s="1">
        <v>2.85</v>
      </c>
      <c r="D44" s="1">
        <f t="shared" si="0"/>
        <v>0.7</v>
      </c>
      <c r="E44" s="1">
        <v>0.1</v>
      </c>
      <c r="F44" s="3">
        <f t="shared" si="1"/>
        <v>0.1855</v>
      </c>
      <c r="G44" s="3">
        <f t="shared" si="2"/>
        <v>2.65</v>
      </c>
    </row>
    <row r="45" spans="3:7" x14ac:dyDescent="0.25">
      <c r="C45" s="1">
        <v>5.75</v>
      </c>
      <c r="D45" s="1">
        <f t="shared" si="0"/>
        <v>0.7</v>
      </c>
      <c r="E45" s="1">
        <v>0.1</v>
      </c>
      <c r="F45" s="3">
        <f t="shared" si="1"/>
        <v>0.38850000000000001</v>
      </c>
      <c r="G45" s="3">
        <f t="shared" si="2"/>
        <v>5.55</v>
      </c>
    </row>
    <row r="46" spans="3:7" x14ac:dyDescent="0.25">
      <c r="C46" s="1">
        <v>5.75</v>
      </c>
      <c r="D46" s="1">
        <f t="shared" si="0"/>
        <v>0.7</v>
      </c>
      <c r="E46" s="1">
        <v>0.1</v>
      </c>
      <c r="F46" s="3">
        <f t="shared" si="1"/>
        <v>0.38850000000000001</v>
      </c>
      <c r="G46" s="3">
        <f t="shared" si="2"/>
        <v>5.55</v>
      </c>
    </row>
    <row r="47" spans="3:7" x14ac:dyDescent="0.25">
      <c r="C47" s="1">
        <v>2.85</v>
      </c>
      <c r="D47" s="1">
        <f t="shared" si="0"/>
        <v>0.7</v>
      </c>
      <c r="E47" s="1">
        <v>0.1</v>
      </c>
      <c r="F47" s="3">
        <f t="shared" si="1"/>
        <v>0.1855</v>
      </c>
      <c r="G47" s="3">
        <f t="shared" si="2"/>
        <v>2.65</v>
      </c>
    </row>
    <row r="48" spans="3:7" x14ac:dyDescent="0.25">
      <c r="C48" s="1">
        <v>4.4749999999999996</v>
      </c>
      <c r="D48" s="1">
        <f t="shared" si="0"/>
        <v>0.7</v>
      </c>
      <c r="E48" s="1">
        <v>0.1</v>
      </c>
      <c r="F48" s="3">
        <f t="shared" si="1"/>
        <v>0.29924999999999996</v>
      </c>
      <c r="G48" s="3">
        <f t="shared" si="2"/>
        <v>4.2749999999999995</v>
      </c>
    </row>
    <row r="49" spans="3:7" x14ac:dyDescent="0.25">
      <c r="C49" s="1">
        <v>1.575</v>
      </c>
      <c r="D49" s="1">
        <f t="shared" si="0"/>
        <v>0.7</v>
      </c>
      <c r="E49" s="1">
        <v>0.1</v>
      </c>
      <c r="F49" s="3">
        <f t="shared" si="1"/>
        <v>9.6250000000000002E-2</v>
      </c>
      <c r="G49" s="3">
        <f t="shared" si="2"/>
        <v>1.375</v>
      </c>
    </row>
    <row r="50" spans="3:7" x14ac:dyDescent="0.25">
      <c r="C50" s="1">
        <v>4.3499999999999996</v>
      </c>
      <c r="D50" s="1">
        <f t="shared" si="0"/>
        <v>0.7</v>
      </c>
      <c r="E50" s="1">
        <v>0.1</v>
      </c>
      <c r="F50" s="3">
        <f t="shared" si="1"/>
        <v>0.29049999999999992</v>
      </c>
      <c r="G50" s="3">
        <f t="shared" si="2"/>
        <v>4.1499999999999995</v>
      </c>
    </row>
    <row r="51" spans="3:7" x14ac:dyDescent="0.25">
      <c r="C51" s="1">
        <v>4.3499999999999996</v>
      </c>
      <c r="D51" s="1">
        <f t="shared" si="0"/>
        <v>0.7</v>
      </c>
      <c r="E51" s="1">
        <v>0.1</v>
      </c>
      <c r="F51" s="3">
        <f t="shared" si="1"/>
        <v>0.29049999999999992</v>
      </c>
      <c r="G51" s="3">
        <f t="shared" si="2"/>
        <v>4.1499999999999995</v>
      </c>
    </row>
    <row r="52" spans="3:7" x14ac:dyDescent="0.25">
      <c r="C52" s="1">
        <v>4.3499999999999996</v>
      </c>
      <c r="D52" s="1">
        <f t="shared" si="0"/>
        <v>0.7</v>
      </c>
      <c r="E52" s="1">
        <v>0.1</v>
      </c>
      <c r="F52" s="3">
        <f t="shared" si="1"/>
        <v>0.29049999999999992</v>
      </c>
      <c r="G52" s="3">
        <f t="shared" si="2"/>
        <v>4.1499999999999995</v>
      </c>
    </row>
    <row r="53" spans="3:7" x14ac:dyDescent="0.25">
      <c r="C53" s="1">
        <v>4.3499999999999996</v>
      </c>
      <c r="D53" s="1">
        <f t="shared" si="0"/>
        <v>0.7</v>
      </c>
      <c r="E53" s="1">
        <v>0.1</v>
      </c>
      <c r="F53" s="3">
        <f t="shared" si="1"/>
        <v>0.29049999999999992</v>
      </c>
      <c r="G53" s="3">
        <f t="shared" si="2"/>
        <v>4.1499999999999995</v>
      </c>
    </row>
    <row r="54" spans="3:7" x14ac:dyDescent="0.25">
      <c r="C54" s="1">
        <v>2.85</v>
      </c>
      <c r="D54" s="1">
        <f t="shared" si="0"/>
        <v>0.7</v>
      </c>
      <c r="E54" s="1">
        <v>0.1</v>
      </c>
      <c r="F54" s="3">
        <f t="shared" si="1"/>
        <v>0.1855</v>
      </c>
      <c r="G54" s="3">
        <f t="shared" si="2"/>
        <v>2.65</v>
      </c>
    </row>
    <row r="55" spans="3:7" x14ac:dyDescent="0.25">
      <c r="C55" s="1">
        <v>4.3499999999999996</v>
      </c>
      <c r="D55" s="1">
        <f t="shared" si="0"/>
        <v>0.7</v>
      </c>
      <c r="E55" s="1">
        <v>0.1</v>
      </c>
      <c r="F55" s="3">
        <f t="shared" si="1"/>
        <v>0.29049999999999992</v>
      </c>
      <c r="G55" s="3">
        <f t="shared" si="2"/>
        <v>4.1499999999999995</v>
      </c>
    </row>
    <row r="56" spans="3:7" x14ac:dyDescent="0.25">
      <c r="C56" s="1">
        <v>4.3499999999999996</v>
      </c>
      <c r="D56" s="1">
        <f t="shared" si="0"/>
        <v>0.7</v>
      </c>
      <c r="E56" s="1">
        <v>0.1</v>
      </c>
      <c r="F56" s="3">
        <f t="shared" si="1"/>
        <v>0.29049999999999992</v>
      </c>
      <c r="G56" s="3">
        <f t="shared" si="2"/>
        <v>4.1499999999999995</v>
      </c>
    </row>
    <row r="57" spans="3:7" x14ac:dyDescent="0.25">
      <c r="C57" s="1">
        <v>4.3499999999999996</v>
      </c>
      <c r="D57" s="1">
        <f t="shared" si="0"/>
        <v>0.7</v>
      </c>
      <c r="E57" s="1">
        <v>0.1</v>
      </c>
      <c r="F57" s="3">
        <f t="shared" si="1"/>
        <v>0.29049999999999992</v>
      </c>
      <c r="G57" s="3">
        <f t="shared" si="2"/>
        <v>4.1499999999999995</v>
      </c>
    </row>
    <row r="58" spans="3:7" x14ac:dyDescent="0.25">
      <c r="C58" s="1">
        <v>5.75</v>
      </c>
      <c r="D58" s="1">
        <f t="shared" si="0"/>
        <v>0.7</v>
      </c>
      <c r="E58" s="1">
        <v>0.1</v>
      </c>
      <c r="F58" s="3">
        <f t="shared" si="1"/>
        <v>0.38850000000000001</v>
      </c>
      <c r="G58" s="3">
        <f t="shared" si="2"/>
        <v>5.55</v>
      </c>
    </row>
    <row r="59" spans="3:7" x14ac:dyDescent="0.25">
      <c r="C59" s="1">
        <v>5.75</v>
      </c>
      <c r="D59" s="1">
        <f t="shared" si="0"/>
        <v>0.7</v>
      </c>
      <c r="E59" s="1">
        <v>0.1</v>
      </c>
      <c r="F59" s="3">
        <f t="shared" si="1"/>
        <v>0.38850000000000001</v>
      </c>
      <c r="G59" s="3">
        <f t="shared" si="2"/>
        <v>5.55</v>
      </c>
    </row>
    <row r="60" spans="3:7" x14ac:dyDescent="0.25">
      <c r="C60" s="1">
        <v>2.85</v>
      </c>
      <c r="D60" s="1">
        <f t="shared" si="0"/>
        <v>0.7</v>
      </c>
      <c r="E60" s="1">
        <v>0.1</v>
      </c>
      <c r="F60" s="3">
        <f t="shared" si="1"/>
        <v>0.1855</v>
      </c>
      <c r="G60" s="3">
        <f t="shared" si="2"/>
        <v>2.65</v>
      </c>
    </row>
    <row r="61" spans="3:7" x14ac:dyDescent="0.25">
      <c r="C61" s="1">
        <v>2.85</v>
      </c>
      <c r="D61" s="1">
        <f t="shared" si="0"/>
        <v>0.7</v>
      </c>
      <c r="E61" s="1">
        <v>0.1</v>
      </c>
      <c r="F61" s="3">
        <f t="shared" si="1"/>
        <v>0.1855</v>
      </c>
      <c r="G61" s="3">
        <f t="shared" si="2"/>
        <v>2.65</v>
      </c>
    </row>
    <row r="62" spans="3:7" x14ac:dyDescent="0.25">
      <c r="C62" s="1">
        <v>4.3499999999999996</v>
      </c>
      <c r="D62" s="1">
        <f t="shared" si="0"/>
        <v>0.7</v>
      </c>
      <c r="E62" s="1">
        <v>0.1</v>
      </c>
      <c r="F62" s="3">
        <f t="shared" si="1"/>
        <v>0.29049999999999992</v>
      </c>
      <c r="G62" s="3">
        <f t="shared" si="2"/>
        <v>4.1499999999999995</v>
      </c>
    </row>
    <row r="63" spans="3:7" x14ac:dyDescent="0.25">
      <c r="C63" s="1">
        <v>4.3499999999999996</v>
      </c>
      <c r="D63" s="1">
        <f t="shared" si="0"/>
        <v>0.7</v>
      </c>
      <c r="E63" s="1">
        <v>0.1</v>
      </c>
      <c r="F63" s="3">
        <f t="shared" si="1"/>
        <v>0.29049999999999992</v>
      </c>
      <c r="G63" s="3">
        <f t="shared" si="2"/>
        <v>4.1499999999999995</v>
      </c>
    </row>
    <row r="64" spans="3:7" x14ac:dyDescent="0.25">
      <c r="C64" s="1">
        <v>4.3499999999999996</v>
      </c>
      <c r="D64" s="1">
        <f t="shared" si="0"/>
        <v>0.7</v>
      </c>
      <c r="E64" s="1">
        <v>0.1</v>
      </c>
      <c r="F64" s="3">
        <f t="shared" si="1"/>
        <v>0.29049999999999992</v>
      </c>
      <c r="G64" s="3">
        <f t="shared" si="2"/>
        <v>4.1499999999999995</v>
      </c>
    </row>
    <row r="65" spans="3:7" x14ac:dyDescent="0.25">
      <c r="C65" s="1">
        <v>4.3499999999999996</v>
      </c>
      <c r="D65" s="1">
        <f t="shared" si="0"/>
        <v>0.7</v>
      </c>
      <c r="E65" s="1">
        <v>0.1</v>
      </c>
      <c r="F65" s="3">
        <f t="shared" si="1"/>
        <v>0.29049999999999992</v>
      </c>
      <c r="G65" s="3">
        <f t="shared" si="2"/>
        <v>4.1499999999999995</v>
      </c>
    </row>
    <row r="66" spans="3:7" x14ac:dyDescent="0.25">
      <c r="C66" s="1">
        <v>2.585</v>
      </c>
      <c r="D66" s="1">
        <f t="shared" si="0"/>
        <v>0.7</v>
      </c>
      <c r="E66" s="1">
        <v>0.1</v>
      </c>
      <c r="F66" s="3">
        <f t="shared" si="1"/>
        <v>0.16694999999999999</v>
      </c>
      <c r="G66" s="3">
        <f t="shared" si="2"/>
        <v>2.3849999999999998</v>
      </c>
    </row>
    <row r="67" spans="3:7" x14ac:dyDescent="0.25">
      <c r="C67" s="26">
        <f>3.775</f>
        <v>3.7749999999999999</v>
      </c>
      <c r="D67" s="1">
        <f t="shared" si="0"/>
        <v>0.7</v>
      </c>
      <c r="E67" s="1">
        <v>0.1</v>
      </c>
      <c r="F67" s="3">
        <f t="shared" si="1"/>
        <v>0.25024999999999997</v>
      </c>
      <c r="G67" s="3">
        <f t="shared" si="2"/>
        <v>3.5749999999999997</v>
      </c>
    </row>
    <row r="68" spans="3:7" x14ac:dyDescent="0.25">
      <c r="C68" s="1">
        <v>4.3499999999999996</v>
      </c>
      <c r="D68" s="1">
        <f t="shared" si="0"/>
        <v>0.7</v>
      </c>
      <c r="E68" s="1">
        <v>0.1</v>
      </c>
      <c r="F68" s="3">
        <f t="shared" si="1"/>
        <v>0.29049999999999992</v>
      </c>
      <c r="G68" s="3">
        <f t="shared" si="2"/>
        <v>4.1499999999999995</v>
      </c>
    </row>
    <row r="69" spans="3:7" x14ac:dyDescent="0.25">
      <c r="C69" s="1">
        <v>4.3499999999999996</v>
      </c>
      <c r="D69" s="1">
        <f t="shared" si="0"/>
        <v>0.7</v>
      </c>
      <c r="E69" s="1">
        <v>0.1</v>
      </c>
      <c r="F69" s="3">
        <f t="shared" si="1"/>
        <v>0.29049999999999992</v>
      </c>
      <c r="G69" s="3">
        <f t="shared" si="2"/>
        <v>4.1499999999999995</v>
      </c>
    </row>
    <row r="70" spans="3:7" x14ac:dyDescent="0.25">
      <c r="C70" s="1">
        <v>4.3499999999999996</v>
      </c>
      <c r="D70" s="1">
        <f t="shared" ref="D70:D86" si="9">0.5+0.1+0.1</f>
        <v>0.7</v>
      </c>
      <c r="E70" s="1">
        <v>0.1</v>
      </c>
      <c r="F70" s="3">
        <f t="shared" ref="F70:F86" si="10">G70*D70*E70</f>
        <v>0.29049999999999992</v>
      </c>
      <c r="G70" s="3">
        <f t="shared" ref="G70:G86" si="11">C70-0.2</f>
        <v>4.1499999999999995</v>
      </c>
    </row>
    <row r="71" spans="3:7" x14ac:dyDescent="0.25">
      <c r="C71" s="1">
        <v>4.3499999999999996</v>
      </c>
      <c r="D71" s="1">
        <f t="shared" si="9"/>
        <v>0.7</v>
      </c>
      <c r="E71" s="1">
        <v>0.1</v>
      </c>
      <c r="F71" s="3">
        <f t="shared" si="10"/>
        <v>0.29049999999999992</v>
      </c>
      <c r="G71" s="3">
        <f t="shared" si="11"/>
        <v>4.1499999999999995</v>
      </c>
    </row>
    <row r="72" spans="3:7" x14ac:dyDescent="0.25">
      <c r="C72" s="1">
        <v>4.3499999999999996</v>
      </c>
      <c r="D72" s="1">
        <f t="shared" si="9"/>
        <v>0.7</v>
      </c>
      <c r="E72" s="1">
        <v>0.1</v>
      </c>
      <c r="F72" s="3">
        <f t="shared" si="10"/>
        <v>0.29049999999999992</v>
      </c>
      <c r="G72" s="3">
        <f t="shared" si="11"/>
        <v>4.1499999999999995</v>
      </c>
    </row>
    <row r="73" spans="3:7" x14ac:dyDescent="0.25">
      <c r="C73" s="1">
        <v>2.15</v>
      </c>
      <c r="D73" s="1">
        <f t="shared" si="9"/>
        <v>0.7</v>
      </c>
      <c r="E73" s="1">
        <v>0.1</v>
      </c>
      <c r="F73" s="3">
        <f t="shared" si="10"/>
        <v>0.13650000000000001</v>
      </c>
      <c r="G73" s="3">
        <f t="shared" si="11"/>
        <v>1.95</v>
      </c>
    </row>
    <row r="74" spans="3:7" x14ac:dyDescent="0.25">
      <c r="C74" s="1">
        <v>4.3499999999999996</v>
      </c>
      <c r="D74" s="1">
        <f t="shared" si="9"/>
        <v>0.7</v>
      </c>
      <c r="E74" s="1">
        <v>0.1</v>
      </c>
      <c r="F74" s="3">
        <f t="shared" si="10"/>
        <v>0.29049999999999992</v>
      </c>
      <c r="G74" s="3">
        <f t="shared" si="11"/>
        <v>4.1499999999999995</v>
      </c>
    </row>
    <row r="75" spans="3:7" x14ac:dyDescent="0.25">
      <c r="C75" s="1">
        <v>4.3499999999999996</v>
      </c>
      <c r="D75" s="1">
        <f t="shared" si="9"/>
        <v>0.7</v>
      </c>
      <c r="E75" s="1">
        <v>0.1</v>
      </c>
      <c r="F75" s="3">
        <f t="shared" si="10"/>
        <v>0.29049999999999992</v>
      </c>
      <c r="G75" s="3">
        <f t="shared" si="11"/>
        <v>4.1499999999999995</v>
      </c>
    </row>
    <row r="76" spans="3:7" x14ac:dyDescent="0.25">
      <c r="C76" s="1">
        <v>4.3499999999999996</v>
      </c>
      <c r="D76" s="1">
        <f t="shared" si="9"/>
        <v>0.7</v>
      </c>
      <c r="E76" s="1">
        <v>0.1</v>
      </c>
      <c r="F76" s="3">
        <f t="shared" si="10"/>
        <v>0.29049999999999992</v>
      </c>
      <c r="G76" s="3">
        <f t="shared" si="11"/>
        <v>4.1499999999999995</v>
      </c>
    </row>
    <row r="77" spans="3:7" x14ac:dyDescent="0.25">
      <c r="C77" s="1">
        <v>4.3499999999999996</v>
      </c>
      <c r="D77" s="1">
        <f t="shared" si="9"/>
        <v>0.7</v>
      </c>
      <c r="E77" s="1">
        <v>0.1</v>
      </c>
      <c r="F77" s="3">
        <f t="shared" si="10"/>
        <v>0.29049999999999992</v>
      </c>
      <c r="G77" s="3">
        <f t="shared" si="11"/>
        <v>4.1499999999999995</v>
      </c>
    </row>
    <row r="78" spans="3:7" x14ac:dyDescent="0.25">
      <c r="C78" s="1">
        <v>2.15</v>
      </c>
      <c r="D78" s="1">
        <f t="shared" si="9"/>
        <v>0.7</v>
      </c>
      <c r="E78" s="1">
        <v>0.1</v>
      </c>
      <c r="F78" s="3">
        <f t="shared" si="10"/>
        <v>0.13650000000000001</v>
      </c>
      <c r="G78" s="3">
        <f t="shared" si="11"/>
        <v>1.95</v>
      </c>
    </row>
    <row r="79" spans="3:7" x14ac:dyDescent="0.25">
      <c r="C79" s="1">
        <v>3.6749999999999998</v>
      </c>
      <c r="D79" s="1">
        <f t="shared" si="9"/>
        <v>0.7</v>
      </c>
      <c r="E79" s="1">
        <v>0.1</v>
      </c>
      <c r="F79" s="3">
        <f t="shared" si="10"/>
        <v>0.24324999999999997</v>
      </c>
      <c r="G79" s="3">
        <f t="shared" si="11"/>
        <v>3.4749999999999996</v>
      </c>
    </row>
    <row r="80" spans="3:7" x14ac:dyDescent="0.25">
      <c r="C80" s="1">
        <v>4.3499999999999996</v>
      </c>
      <c r="D80" s="1">
        <f t="shared" si="9"/>
        <v>0.7</v>
      </c>
      <c r="E80" s="1">
        <v>0.1</v>
      </c>
      <c r="F80" s="3">
        <f t="shared" si="10"/>
        <v>0.29049999999999992</v>
      </c>
      <c r="G80" s="3">
        <f t="shared" si="11"/>
        <v>4.1499999999999995</v>
      </c>
    </row>
    <row r="81" spans="1:8" x14ac:dyDescent="0.25">
      <c r="C81" s="1">
        <v>4.3499999999999996</v>
      </c>
      <c r="D81" s="1">
        <f t="shared" si="9"/>
        <v>0.7</v>
      </c>
      <c r="E81" s="1">
        <v>0.1</v>
      </c>
      <c r="F81" s="3">
        <f t="shared" si="10"/>
        <v>0.29049999999999992</v>
      </c>
      <c r="G81" s="3">
        <f t="shared" si="11"/>
        <v>4.1499999999999995</v>
      </c>
    </row>
    <row r="82" spans="1:8" x14ac:dyDescent="0.25">
      <c r="C82" s="1">
        <v>4.3499999999999996</v>
      </c>
      <c r="D82" s="1">
        <f t="shared" si="9"/>
        <v>0.7</v>
      </c>
      <c r="E82" s="1">
        <v>0.1</v>
      </c>
      <c r="F82" s="3">
        <f t="shared" si="10"/>
        <v>0.29049999999999992</v>
      </c>
      <c r="G82" s="3">
        <f t="shared" si="11"/>
        <v>4.1499999999999995</v>
      </c>
    </row>
    <row r="83" spans="1:8" x14ac:dyDescent="0.25">
      <c r="C83" s="1">
        <v>4.3499999999999996</v>
      </c>
      <c r="D83" s="1">
        <f t="shared" si="9"/>
        <v>0.7</v>
      </c>
      <c r="E83" s="1">
        <v>0.1</v>
      </c>
      <c r="F83" s="3">
        <f t="shared" si="10"/>
        <v>0.29049999999999992</v>
      </c>
      <c r="G83" s="3">
        <f t="shared" si="11"/>
        <v>4.1499999999999995</v>
      </c>
    </row>
    <row r="84" spans="1:8" x14ac:dyDescent="0.25">
      <c r="C84" s="1">
        <v>4.3499999999999996</v>
      </c>
      <c r="D84" s="1">
        <f t="shared" si="9"/>
        <v>0.7</v>
      </c>
      <c r="E84" s="1">
        <v>0.1</v>
      </c>
      <c r="F84" s="3">
        <f t="shared" si="10"/>
        <v>0.29049999999999992</v>
      </c>
      <c r="G84" s="3">
        <f t="shared" si="11"/>
        <v>4.1499999999999995</v>
      </c>
    </row>
    <row r="85" spans="1:8" x14ac:dyDescent="0.25">
      <c r="C85" s="1">
        <v>1.575</v>
      </c>
      <c r="D85" s="1">
        <f t="shared" si="9"/>
        <v>0.7</v>
      </c>
      <c r="E85" s="1">
        <v>0.1</v>
      </c>
      <c r="F85" s="3">
        <f t="shared" si="10"/>
        <v>9.6250000000000002E-2</v>
      </c>
      <c r="G85" s="3">
        <f t="shared" si="11"/>
        <v>1.375</v>
      </c>
    </row>
    <row r="86" spans="1:8" x14ac:dyDescent="0.25">
      <c r="C86" s="1">
        <v>4.3499999999999996</v>
      </c>
      <c r="D86" s="1">
        <f t="shared" si="9"/>
        <v>0.7</v>
      </c>
      <c r="E86" s="1">
        <v>0.1</v>
      </c>
      <c r="F86" s="3">
        <f t="shared" si="10"/>
        <v>0.29049999999999992</v>
      </c>
      <c r="G86" s="3">
        <f t="shared" si="11"/>
        <v>4.1499999999999995</v>
      </c>
    </row>
    <row r="87" spans="1:8" x14ac:dyDescent="0.25">
      <c r="C87" s="27">
        <f>SUM(C5:C86)</f>
        <v>334.96000000000009</v>
      </c>
      <c r="F87" s="4">
        <f>SUM(F5:F86)</f>
        <v>22.299200000000024</v>
      </c>
      <c r="G87" s="4"/>
      <c r="H87" s="4"/>
    </row>
    <row r="89" spans="1:8" x14ac:dyDescent="0.25">
      <c r="A89" s="2">
        <f>F87+M15+S7+Y11</f>
        <v>28.895700000000026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9525-94B3-449B-91AE-117ABBFD3B30}">
  <dimension ref="A5:R97"/>
  <sheetViews>
    <sheetView topLeftCell="A83" zoomScale="130" zoomScaleNormal="130" workbookViewId="0">
      <selection activeCell="F98" sqref="F98"/>
    </sheetView>
  </sheetViews>
  <sheetFormatPr defaultRowHeight="15" x14ac:dyDescent="0.25"/>
  <cols>
    <col min="1" max="1" width="20.7109375" customWidth="1"/>
    <col min="2" max="4" width="9.140625" style="1"/>
    <col min="5" max="6" width="9.140625" style="3"/>
    <col min="11" max="11" width="17.5703125" customWidth="1"/>
  </cols>
  <sheetData>
    <row r="5" spans="1:18" x14ac:dyDescent="0.25">
      <c r="A5" t="s">
        <v>9</v>
      </c>
      <c r="B5" s="1">
        <f>5.75</f>
        <v>5.75</v>
      </c>
      <c r="C5" s="1">
        <f>0.5+0.1+0.1</f>
        <v>0.7</v>
      </c>
      <c r="D5" s="1">
        <v>0.1</v>
      </c>
      <c r="E5" s="3">
        <f>F5*C5*D5</f>
        <v>0.38850000000000001</v>
      </c>
      <c r="F5" s="3">
        <f>B5-0.2</f>
        <v>5.55</v>
      </c>
      <c r="H5">
        <f>B5-0.08</f>
        <v>5.67</v>
      </c>
      <c r="I5">
        <f>(B5/0.2)</f>
        <v>28.75</v>
      </c>
      <c r="J5" s="29">
        <v>29</v>
      </c>
      <c r="K5" t="s">
        <v>12</v>
      </c>
      <c r="L5" s="1">
        <v>2.15</v>
      </c>
      <c r="M5" s="1">
        <v>0.5</v>
      </c>
      <c r="N5" s="1">
        <v>0.6</v>
      </c>
      <c r="O5" s="3">
        <f t="shared" ref="O5:O10" si="0">L5*M5*N5</f>
        <v>0.64499999999999991</v>
      </c>
      <c r="Q5">
        <f t="shared" ref="Q5:Q10" si="1">(L5/0.2)</f>
        <v>10.749999999999998</v>
      </c>
      <c r="R5" s="29">
        <v>11</v>
      </c>
    </row>
    <row r="6" spans="1:18" x14ac:dyDescent="0.25">
      <c r="B6" s="1">
        <v>2.85</v>
      </c>
      <c r="C6" s="1">
        <f t="shared" ref="C6:C69" si="2">0.5+0.1+0.1</f>
        <v>0.7</v>
      </c>
      <c r="D6" s="1">
        <v>0.1</v>
      </c>
      <c r="E6" s="3">
        <f t="shared" ref="E6:E69" si="3">F6*C6*D6</f>
        <v>0.1855</v>
      </c>
      <c r="F6" s="3">
        <f t="shared" ref="F6:F69" si="4">B6-0.2</f>
        <v>2.65</v>
      </c>
      <c r="H6">
        <f t="shared" ref="H6:H69" si="5">B6-0.08</f>
        <v>2.77</v>
      </c>
      <c r="I6">
        <f t="shared" ref="I6:I69" si="6">(B6/0.2)</f>
        <v>14.25</v>
      </c>
      <c r="J6" s="29">
        <v>15</v>
      </c>
      <c r="L6" s="1">
        <v>2.15</v>
      </c>
      <c r="M6" s="1">
        <v>0.5</v>
      </c>
      <c r="N6" s="1">
        <v>0.6</v>
      </c>
      <c r="O6" s="3">
        <f t="shared" si="0"/>
        <v>0.64499999999999991</v>
      </c>
      <c r="Q6">
        <f t="shared" si="1"/>
        <v>10.749999999999998</v>
      </c>
      <c r="R6" s="29">
        <v>11</v>
      </c>
    </row>
    <row r="7" spans="1:18" x14ac:dyDescent="0.25">
      <c r="B7" s="1">
        <v>4.4749999999999996</v>
      </c>
      <c r="C7" s="1">
        <f t="shared" si="2"/>
        <v>0.7</v>
      </c>
      <c r="D7" s="1">
        <v>0.1</v>
      </c>
      <c r="E7" s="3">
        <f t="shared" si="3"/>
        <v>0.29924999999999996</v>
      </c>
      <c r="F7" s="3">
        <f t="shared" si="4"/>
        <v>4.2749999999999995</v>
      </c>
      <c r="H7">
        <f t="shared" si="5"/>
        <v>4.3949999999999996</v>
      </c>
      <c r="I7">
        <f t="shared" si="6"/>
        <v>22.374999999999996</v>
      </c>
      <c r="J7" s="29">
        <v>23</v>
      </c>
      <c r="L7" s="1">
        <v>2.15</v>
      </c>
      <c r="M7" s="1">
        <v>0.5</v>
      </c>
      <c r="N7" s="1">
        <v>0.6</v>
      </c>
      <c r="O7" s="3">
        <f t="shared" si="0"/>
        <v>0.64499999999999991</v>
      </c>
      <c r="Q7">
        <f t="shared" si="1"/>
        <v>10.749999999999998</v>
      </c>
      <c r="R7" s="29">
        <v>11</v>
      </c>
    </row>
    <row r="8" spans="1:18" x14ac:dyDescent="0.25">
      <c r="B8" s="1">
        <v>3.7749999999999999</v>
      </c>
      <c r="C8" s="1">
        <f t="shared" si="2"/>
        <v>0.7</v>
      </c>
      <c r="D8" s="1">
        <v>0.1</v>
      </c>
      <c r="E8" s="3">
        <f t="shared" si="3"/>
        <v>0.25024999999999997</v>
      </c>
      <c r="F8" s="3">
        <f t="shared" si="4"/>
        <v>3.5749999999999997</v>
      </c>
      <c r="H8">
        <f t="shared" si="5"/>
        <v>3.6949999999999998</v>
      </c>
      <c r="I8">
        <f t="shared" si="6"/>
        <v>18.875</v>
      </c>
      <c r="J8" s="29">
        <v>19</v>
      </c>
      <c r="L8" s="1">
        <v>2.85</v>
      </c>
      <c r="M8" s="1">
        <v>0.5</v>
      </c>
      <c r="N8" s="1">
        <v>0.6</v>
      </c>
      <c r="O8" s="3">
        <f t="shared" si="0"/>
        <v>0.85499999999999998</v>
      </c>
      <c r="Q8">
        <f t="shared" si="1"/>
        <v>14.25</v>
      </c>
      <c r="R8" s="29">
        <v>15</v>
      </c>
    </row>
    <row r="9" spans="1:18" x14ac:dyDescent="0.25">
      <c r="B9" s="1">
        <v>4.3499999999999996</v>
      </c>
      <c r="C9" s="1">
        <f t="shared" si="2"/>
        <v>0.7</v>
      </c>
      <c r="D9" s="1">
        <v>0.1</v>
      </c>
      <c r="E9" s="3">
        <f t="shared" si="3"/>
        <v>0.29049999999999992</v>
      </c>
      <c r="F9" s="3">
        <f t="shared" si="4"/>
        <v>4.1499999999999995</v>
      </c>
      <c r="H9">
        <f t="shared" si="5"/>
        <v>4.2699999999999996</v>
      </c>
      <c r="I9">
        <f t="shared" si="6"/>
        <v>21.749999999999996</v>
      </c>
      <c r="J9" s="29">
        <v>22</v>
      </c>
      <c r="L9" s="1">
        <v>2.85</v>
      </c>
      <c r="M9" s="1">
        <v>0.5</v>
      </c>
      <c r="N9" s="1">
        <v>0.6</v>
      </c>
      <c r="O9" s="3">
        <f t="shared" si="0"/>
        <v>0.85499999999999998</v>
      </c>
      <c r="Q9">
        <f t="shared" si="1"/>
        <v>14.25</v>
      </c>
      <c r="R9" s="29">
        <v>15</v>
      </c>
    </row>
    <row r="10" spans="1:18" x14ac:dyDescent="0.25">
      <c r="B10" s="1">
        <v>4.3499999999999996</v>
      </c>
      <c r="C10" s="1">
        <f t="shared" si="2"/>
        <v>0.7</v>
      </c>
      <c r="D10" s="1">
        <v>0.1</v>
      </c>
      <c r="E10" s="3">
        <f t="shared" si="3"/>
        <v>0.29049999999999992</v>
      </c>
      <c r="F10" s="3">
        <f t="shared" si="4"/>
        <v>4.1499999999999995</v>
      </c>
      <c r="H10">
        <f t="shared" si="5"/>
        <v>4.2699999999999996</v>
      </c>
      <c r="I10">
        <f t="shared" si="6"/>
        <v>21.749999999999996</v>
      </c>
      <c r="J10" s="29">
        <v>22</v>
      </c>
      <c r="L10" s="1">
        <v>2.85</v>
      </c>
      <c r="M10" s="1">
        <v>0.5</v>
      </c>
      <c r="N10" s="1">
        <v>0.6</v>
      </c>
      <c r="O10" s="3">
        <f t="shared" si="0"/>
        <v>0.85499999999999998</v>
      </c>
      <c r="Q10">
        <f t="shared" si="1"/>
        <v>14.25</v>
      </c>
      <c r="R10" s="29">
        <v>15</v>
      </c>
    </row>
    <row r="11" spans="1:18" x14ac:dyDescent="0.25">
      <c r="B11" s="1">
        <v>4.3499999999999996</v>
      </c>
      <c r="C11" s="1">
        <f t="shared" si="2"/>
        <v>0.7</v>
      </c>
      <c r="D11" s="1">
        <v>0.1</v>
      </c>
      <c r="E11" s="3">
        <f t="shared" si="3"/>
        <v>0.29049999999999992</v>
      </c>
      <c r="F11" s="3">
        <f t="shared" si="4"/>
        <v>4.1499999999999995</v>
      </c>
      <c r="H11">
        <f t="shared" si="5"/>
        <v>4.2699999999999996</v>
      </c>
      <c r="I11">
        <f t="shared" si="6"/>
        <v>21.749999999999996</v>
      </c>
      <c r="J11" s="29">
        <v>22</v>
      </c>
      <c r="L11" s="18">
        <f>SUM(L5:L10)</f>
        <v>14.999999999999998</v>
      </c>
      <c r="M11" s="1"/>
      <c r="N11" s="1"/>
      <c r="O11" s="4">
        <f>SUM(O5:O10)</f>
        <v>4.5</v>
      </c>
      <c r="Q11">
        <f>SUM(Q5:Q10)*2</f>
        <v>150</v>
      </c>
      <c r="R11">
        <f>SUM(R5:R10)*2</f>
        <v>156</v>
      </c>
    </row>
    <row r="12" spans="1:18" x14ac:dyDescent="0.25">
      <c r="B12" s="1">
        <v>4.3499999999999996</v>
      </c>
      <c r="C12" s="1">
        <f t="shared" si="2"/>
        <v>0.7</v>
      </c>
      <c r="D12" s="1">
        <v>0.1</v>
      </c>
      <c r="E12" s="3">
        <f t="shared" si="3"/>
        <v>0.29049999999999992</v>
      </c>
      <c r="F12" s="3">
        <f t="shared" si="4"/>
        <v>4.1499999999999995</v>
      </c>
      <c r="H12">
        <f t="shared" si="5"/>
        <v>4.2699999999999996</v>
      </c>
      <c r="I12">
        <f t="shared" si="6"/>
        <v>21.749999999999996</v>
      </c>
      <c r="J12" s="29">
        <v>22</v>
      </c>
    </row>
    <row r="13" spans="1:18" x14ac:dyDescent="0.25">
      <c r="B13" s="1">
        <v>4.3499999999999996</v>
      </c>
      <c r="C13" s="1">
        <f t="shared" si="2"/>
        <v>0.7</v>
      </c>
      <c r="D13" s="1">
        <v>0.1</v>
      </c>
      <c r="E13" s="3">
        <f t="shared" si="3"/>
        <v>0.29049999999999992</v>
      </c>
      <c r="F13" s="3">
        <f t="shared" si="4"/>
        <v>4.1499999999999995</v>
      </c>
      <c r="H13">
        <f t="shared" si="5"/>
        <v>4.2699999999999996</v>
      </c>
      <c r="I13">
        <f t="shared" si="6"/>
        <v>21.749999999999996</v>
      </c>
      <c r="J13" s="29">
        <v>22</v>
      </c>
    </row>
    <row r="14" spans="1:18" x14ac:dyDescent="0.25">
      <c r="B14" s="1">
        <v>4.3499999999999996</v>
      </c>
      <c r="C14" s="1">
        <f t="shared" si="2"/>
        <v>0.7</v>
      </c>
      <c r="D14" s="1">
        <v>0.1</v>
      </c>
      <c r="E14" s="3">
        <f t="shared" si="3"/>
        <v>0.29049999999999992</v>
      </c>
      <c r="F14" s="3">
        <f t="shared" si="4"/>
        <v>4.1499999999999995</v>
      </c>
      <c r="H14">
        <f t="shared" si="5"/>
        <v>4.2699999999999996</v>
      </c>
      <c r="I14">
        <f t="shared" si="6"/>
        <v>21.749999999999996</v>
      </c>
      <c r="J14" s="29">
        <v>22</v>
      </c>
    </row>
    <row r="15" spans="1:18" x14ac:dyDescent="0.25">
      <c r="B15" s="1">
        <v>4.3499999999999996</v>
      </c>
      <c r="C15" s="1">
        <f t="shared" si="2"/>
        <v>0.7</v>
      </c>
      <c r="D15" s="1">
        <v>0.1</v>
      </c>
      <c r="E15" s="3">
        <f t="shared" si="3"/>
        <v>0.29049999999999992</v>
      </c>
      <c r="F15" s="3">
        <f t="shared" si="4"/>
        <v>4.1499999999999995</v>
      </c>
      <c r="H15">
        <f t="shared" si="5"/>
        <v>4.2699999999999996</v>
      </c>
      <c r="I15">
        <f t="shared" si="6"/>
        <v>21.749999999999996</v>
      </c>
      <c r="J15" s="29">
        <v>22</v>
      </c>
      <c r="K15" t="s">
        <v>10</v>
      </c>
      <c r="L15" s="1">
        <f>5.175-0.825</f>
        <v>4.3499999999999996</v>
      </c>
      <c r="M15" s="1">
        <f>0.18+0.67</f>
        <v>0.85000000000000009</v>
      </c>
      <c r="N15" s="1">
        <v>0.6</v>
      </c>
      <c r="O15" s="3">
        <f>L15*M15*N15</f>
        <v>2.2185000000000001</v>
      </c>
      <c r="Q15">
        <f>L15/0.2</f>
        <v>21.749999999999996</v>
      </c>
      <c r="R15" s="29">
        <v>22</v>
      </c>
    </row>
    <row r="16" spans="1:18" x14ac:dyDescent="0.25">
      <c r="B16" s="1">
        <v>4.3499999999999996</v>
      </c>
      <c r="C16" s="1">
        <f t="shared" si="2"/>
        <v>0.7</v>
      </c>
      <c r="D16" s="1">
        <v>0.1</v>
      </c>
      <c r="E16" s="3">
        <f t="shared" si="3"/>
        <v>0.29049999999999992</v>
      </c>
      <c r="F16" s="3">
        <f t="shared" si="4"/>
        <v>4.1499999999999995</v>
      </c>
      <c r="H16">
        <f t="shared" si="5"/>
        <v>4.2699999999999996</v>
      </c>
      <c r="I16">
        <f t="shared" si="6"/>
        <v>21.749999999999996</v>
      </c>
      <c r="J16" s="29">
        <v>22</v>
      </c>
      <c r="L16" s="1">
        <f>5.175-0.825</f>
        <v>4.3499999999999996</v>
      </c>
      <c r="M16" s="1">
        <f>0.18+0.67</f>
        <v>0.85000000000000009</v>
      </c>
      <c r="N16" s="1">
        <v>0.6</v>
      </c>
      <c r="O16" s="3">
        <f t="shared" ref="O16:O24" si="7">L16*M16*N16</f>
        <v>2.2185000000000001</v>
      </c>
      <c r="Q16">
        <f t="shared" ref="Q16:Q24" si="8">L16/0.2</f>
        <v>21.749999999999996</v>
      </c>
      <c r="R16" s="29">
        <v>22</v>
      </c>
    </row>
    <row r="17" spans="2:18" x14ac:dyDescent="0.25">
      <c r="B17" s="1">
        <v>4.3499999999999996</v>
      </c>
      <c r="C17" s="1">
        <f t="shared" si="2"/>
        <v>0.7</v>
      </c>
      <c r="D17" s="1">
        <v>0.1</v>
      </c>
      <c r="E17" s="3">
        <f t="shared" si="3"/>
        <v>0.29049999999999992</v>
      </c>
      <c r="F17" s="3">
        <f t="shared" si="4"/>
        <v>4.1499999999999995</v>
      </c>
      <c r="H17">
        <f t="shared" si="5"/>
        <v>4.2699999999999996</v>
      </c>
      <c r="I17">
        <f t="shared" si="6"/>
        <v>21.749999999999996</v>
      </c>
      <c r="J17" s="29">
        <v>22</v>
      </c>
      <c r="L17" s="1">
        <v>4.3499999999999996</v>
      </c>
      <c r="M17" s="1">
        <f>0.18+0.67</f>
        <v>0.85000000000000009</v>
      </c>
      <c r="N17" s="1">
        <v>0.6</v>
      </c>
      <c r="O17" s="3">
        <f t="shared" si="7"/>
        <v>2.2185000000000001</v>
      </c>
      <c r="Q17">
        <f t="shared" si="8"/>
        <v>21.749999999999996</v>
      </c>
      <c r="R17" s="29">
        <v>22</v>
      </c>
    </row>
    <row r="18" spans="2:18" x14ac:dyDescent="0.25">
      <c r="B18" s="1">
        <v>4.3499999999999996</v>
      </c>
      <c r="C18" s="1">
        <f t="shared" si="2"/>
        <v>0.7</v>
      </c>
      <c r="D18" s="1">
        <v>0.1</v>
      </c>
      <c r="E18" s="3">
        <f t="shared" si="3"/>
        <v>0.29049999999999992</v>
      </c>
      <c r="F18" s="3">
        <f t="shared" si="4"/>
        <v>4.1499999999999995</v>
      </c>
      <c r="H18">
        <f t="shared" si="5"/>
        <v>4.2699999999999996</v>
      </c>
      <c r="I18">
        <f t="shared" si="6"/>
        <v>21.749999999999996</v>
      </c>
      <c r="J18" s="29">
        <v>22</v>
      </c>
      <c r="L18" s="1">
        <v>4.3499999999999996</v>
      </c>
      <c r="M18" s="1">
        <f>0.18+0.67</f>
        <v>0.85000000000000009</v>
      </c>
      <c r="N18" s="1">
        <v>0.6</v>
      </c>
      <c r="O18" s="3">
        <f t="shared" si="7"/>
        <v>2.2185000000000001</v>
      </c>
      <c r="Q18">
        <f t="shared" si="8"/>
        <v>21.749999999999996</v>
      </c>
      <c r="R18" s="29">
        <v>22</v>
      </c>
    </row>
    <row r="19" spans="2:18" x14ac:dyDescent="0.25">
      <c r="B19" s="1">
        <v>4.3499999999999996</v>
      </c>
      <c r="C19" s="1">
        <f t="shared" si="2"/>
        <v>0.7</v>
      </c>
      <c r="D19" s="1">
        <v>0.1</v>
      </c>
      <c r="E19" s="3">
        <f t="shared" si="3"/>
        <v>0.29049999999999992</v>
      </c>
      <c r="F19" s="3">
        <f t="shared" si="4"/>
        <v>4.1499999999999995</v>
      </c>
      <c r="H19">
        <f t="shared" si="5"/>
        <v>4.2699999999999996</v>
      </c>
      <c r="I19">
        <f t="shared" si="6"/>
        <v>21.749999999999996</v>
      </c>
      <c r="J19" s="29">
        <v>22</v>
      </c>
      <c r="L19" s="1">
        <f>6-0.825-0.825</f>
        <v>4.3499999999999996</v>
      </c>
      <c r="M19" s="1">
        <f t="shared" ref="M19:M24" si="9">0.18+0.67</f>
        <v>0.85000000000000009</v>
      </c>
      <c r="N19" s="1">
        <v>0.6</v>
      </c>
      <c r="O19" s="3">
        <f t="shared" si="7"/>
        <v>2.2185000000000001</v>
      </c>
      <c r="Q19">
        <f t="shared" si="8"/>
        <v>21.749999999999996</v>
      </c>
      <c r="R19" s="29">
        <v>22</v>
      </c>
    </row>
    <row r="20" spans="2:18" x14ac:dyDescent="0.25">
      <c r="B20" s="1">
        <v>4.3499999999999996</v>
      </c>
      <c r="C20" s="1">
        <f t="shared" si="2"/>
        <v>0.7</v>
      </c>
      <c r="D20" s="1">
        <v>0.1</v>
      </c>
      <c r="E20" s="3">
        <f t="shared" si="3"/>
        <v>0.29049999999999992</v>
      </c>
      <c r="F20" s="3">
        <f t="shared" si="4"/>
        <v>4.1499999999999995</v>
      </c>
      <c r="H20">
        <f t="shared" si="5"/>
        <v>4.2699999999999996</v>
      </c>
      <c r="I20">
        <f t="shared" si="6"/>
        <v>21.749999999999996</v>
      </c>
      <c r="J20" s="29">
        <v>22</v>
      </c>
      <c r="L20" s="1">
        <f>6-0.825-0.825</f>
        <v>4.3499999999999996</v>
      </c>
      <c r="M20" s="1">
        <f t="shared" si="9"/>
        <v>0.85000000000000009</v>
      </c>
      <c r="N20" s="1">
        <v>0.6</v>
      </c>
      <c r="O20" s="3">
        <f t="shared" si="7"/>
        <v>2.2185000000000001</v>
      </c>
      <c r="Q20">
        <f t="shared" si="8"/>
        <v>21.749999999999996</v>
      </c>
      <c r="R20" s="29">
        <v>22</v>
      </c>
    </row>
    <row r="21" spans="2:18" x14ac:dyDescent="0.25">
      <c r="B21" s="1">
        <v>4.3499999999999996</v>
      </c>
      <c r="C21" s="1">
        <f t="shared" si="2"/>
        <v>0.7</v>
      </c>
      <c r="D21" s="1">
        <v>0.1</v>
      </c>
      <c r="E21" s="3">
        <f t="shared" si="3"/>
        <v>0.29049999999999992</v>
      </c>
      <c r="F21" s="3">
        <f t="shared" si="4"/>
        <v>4.1499999999999995</v>
      </c>
      <c r="H21">
        <f t="shared" si="5"/>
        <v>4.2699999999999996</v>
      </c>
      <c r="I21">
        <f t="shared" si="6"/>
        <v>21.749999999999996</v>
      </c>
      <c r="J21" s="29">
        <v>22</v>
      </c>
      <c r="L21" s="1">
        <v>5.75</v>
      </c>
      <c r="M21" s="1">
        <f t="shared" si="9"/>
        <v>0.85000000000000009</v>
      </c>
      <c r="N21" s="1">
        <v>0.6</v>
      </c>
      <c r="O21" s="3">
        <f t="shared" si="7"/>
        <v>2.9325000000000001</v>
      </c>
      <c r="Q21">
        <f t="shared" si="8"/>
        <v>28.75</v>
      </c>
      <c r="R21" s="29">
        <v>29</v>
      </c>
    </row>
    <row r="22" spans="2:18" x14ac:dyDescent="0.25">
      <c r="B22" s="1">
        <v>2.85</v>
      </c>
      <c r="C22" s="1">
        <f t="shared" si="2"/>
        <v>0.7</v>
      </c>
      <c r="D22" s="1">
        <v>0.1</v>
      </c>
      <c r="E22" s="3">
        <f t="shared" si="3"/>
        <v>0.1855</v>
      </c>
      <c r="F22" s="3">
        <f t="shared" si="4"/>
        <v>2.65</v>
      </c>
      <c r="H22">
        <f>B22-0.08</f>
        <v>2.77</v>
      </c>
      <c r="I22">
        <f t="shared" si="6"/>
        <v>14.25</v>
      </c>
      <c r="J22" s="29">
        <v>15</v>
      </c>
      <c r="L22" s="1">
        <v>5.75</v>
      </c>
      <c r="M22" s="1">
        <f t="shared" si="9"/>
        <v>0.85000000000000009</v>
      </c>
      <c r="N22" s="1">
        <v>0.6</v>
      </c>
      <c r="O22" s="3">
        <f t="shared" si="7"/>
        <v>2.9325000000000001</v>
      </c>
      <c r="Q22">
        <f t="shared" si="8"/>
        <v>28.75</v>
      </c>
      <c r="R22" s="29">
        <v>29</v>
      </c>
    </row>
    <row r="23" spans="2:18" x14ac:dyDescent="0.25">
      <c r="B23" s="1">
        <v>2.15</v>
      </c>
      <c r="C23" s="1">
        <f t="shared" si="2"/>
        <v>0.7</v>
      </c>
      <c r="D23" s="1">
        <v>0.1</v>
      </c>
      <c r="E23" s="3">
        <f t="shared" si="3"/>
        <v>0.13650000000000001</v>
      </c>
      <c r="F23" s="3">
        <f t="shared" si="4"/>
        <v>1.95</v>
      </c>
      <c r="H23">
        <f t="shared" si="5"/>
        <v>2.0699999999999998</v>
      </c>
      <c r="I23">
        <f t="shared" si="6"/>
        <v>10.749999999999998</v>
      </c>
      <c r="J23" s="29">
        <v>11</v>
      </c>
      <c r="L23" s="1">
        <v>5.85</v>
      </c>
      <c r="M23" s="1">
        <f t="shared" si="9"/>
        <v>0.85000000000000009</v>
      </c>
      <c r="N23" s="1">
        <v>0.6</v>
      </c>
      <c r="O23" s="3">
        <f t="shared" si="7"/>
        <v>2.9834999999999998</v>
      </c>
      <c r="Q23">
        <f t="shared" si="8"/>
        <v>29.249999999999996</v>
      </c>
      <c r="R23" s="29">
        <v>30</v>
      </c>
    </row>
    <row r="24" spans="2:18" x14ac:dyDescent="0.25">
      <c r="B24" s="1">
        <v>4.3499999999999996</v>
      </c>
      <c r="C24" s="1">
        <f t="shared" si="2"/>
        <v>0.7</v>
      </c>
      <c r="D24" s="1">
        <v>0.1</v>
      </c>
      <c r="E24" s="3">
        <f t="shared" si="3"/>
        <v>0.29049999999999992</v>
      </c>
      <c r="F24" s="3">
        <f t="shared" si="4"/>
        <v>4.1499999999999995</v>
      </c>
      <c r="H24">
        <f t="shared" si="5"/>
        <v>4.2699999999999996</v>
      </c>
      <c r="I24">
        <f t="shared" si="6"/>
        <v>21.749999999999996</v>
      </c>
      <c r="J24" s="29">
        <v>22</v>
      </c>
      <c r="L24" s="1">
        <v>5.85</v>
      </c>
      <c r="M24" s="1">
        <f t="shared" si="9"/>
        <v>0.85000000000000009</v>
      </c>
      <c r="N24" s="1">
        <v>0.6</v>
      </c>
      <c r="O24" s="3">
        <f t="shared" si="7"/>
        <v>2.9834999999999998</v>
      </c>
      <c r="Q24">
        <f t="shared" si="8"/>
        <v>29.249999999999996</v>
      </c>
      <c r="R24" s="29">
        <v>30</v>
      </c>
    </row>
    <row r="25" spans="2:18" x14ac:dyDescent="0.25">
      <c r="B25" s="1">
        <v>4.3499999999999996</v>
      </c>
      <c r="C25" s="1">
        <f t="shared" si="2"/>
        <v>0.7</v>
      </c>
      <c r="D25" s="1">
        <v>0.1</v>
      </c>
      <c r="E25" s="3">
        <f t="shared" si="3"/>
        <v>0.29049999999999992</v>
      </c>
      <c r="F25" s="3">
        <f t="shared" si="4"/>
        <v>4.1499999999999995</v>
      </c>
      <c r="H25">
        <f t="shared" si="5"/>
        <v>4.2699999999999996</v>
      </c>
      <c r="I25">
        <f t="shared" si="6"/>
        <v>21.749999999999996</v>
      </c>
      <c r="J25" s="29">
        <v>22</v>
      </c>
      <c r="L25" s="18">
        <f>SUM(L15:L24)</f>
        <v>49.300000000000004</v>
      </c>
      <c r="M25" s="1"/>
      <c r="N25" s="1"/>
      <c r="O25" s="4">
        <f>SUM(O15:O24)</f>
        <v>25.143000000000001</v>
      </c>
      <c r="R25">
        <f>SUM(R15:R24)*2</f>
        <v>500</v>
      </c>
    </row>
    <row r="26" spans="2:18" x14ac:dyDescent="0.25">
      <c r="B26" s="1">
        <v>4.3499999999999996</v>
      </c>
      <c r="C26" s="1">
        <f t="shared" si="2"/>
        <v>0.7</v>
      </c>
      <c r="D26" s="1">
        <v>0.1</v>
      </c>
      <c r="E26" s="3">
        <f t="shared" si="3"/>
        <v>0.29049999999999992</v>
      </c>
      <c r="F26" s="3">
        <f t="shared" si="4"/>
        <v>4.1499999999999995</v>
      </c>
      <c r="H26">
        <f t="shared" si="5"/>
        <v>4.2699999999999996</v>
      </c>
      <c r="I26">
        <f t="shared" si="6"/>
        <v>21.749999999999996</v>
      </c>
      <c r="J26" s="29">
        <v>22</v>
      </c>
    </row>
    <row r="27" spans="2:18" x14ac:dyDescent="0.25">
      <c r="B27" s="1">
        <v>4.3499999999999996</v>
      </c>
      <c r="C27" s="1">
        <f t="shared" si="2"/>
        <v>0.7</v>
      </c>
      <c r="D27" s="1">
        <v>0.1</v>
      </c>
      <c r="E27" s="3">
        <f t="shared" si="3"/>
        <v>0.29049999999999992</v>
      </c>
      <c r="F27" s="3">
        <f t="shared" si="4"/>
        <v>4.1499999999999995</v>
      </c>
      <c r="H27">
        <f t="shared" si="5"/>
        <v>4.2699999999999996</v>
      </c>
      <c r="I27">
        <f t="shared" si="6"/>
        <v>21.749999999999996</v>
      </c>
      <c r="J27" s="29">
        <v>22</v>
      </c>
    </row>
    <row r="28" spans="2:18" x14ac:dyDescent="0.25">
      <c r="B28" s="1">
        <v>4.3499999999999996</v>
      </c>
      <c r="C28" s="1">
        <f t="shared" si="2"/>
        <v>0.7</v>
      </c>
      <c r="D28" s="1">
        <v>0.1</v>
      </c>
      <c r="E28" s="3">
        <f t="shared" si="3"/>
        <v>0.29049999999999992</v>
      </c>
      <c r="F28" s="3">
        <f t="shared" si="4"/>
        <v>4.1499999999999995</v>
      </c>
      <c r="H28">
        <f t="shared" si="5"/>
        <v>4.2699999999999996</v>
      </c>
      <c r="I28">
        <f t="shared" si="6"/>
        <v>21.749999999999996</v>
      </c>
      <c r="J28" s="29">
        <v>22</v>
      </c>
    </row>
    <row r="29" spans="2:18" x14ac:dyDescent="0.25">
      <c r="B29" s="1">
        <v>2.15</v>
      </c>
      <c r="C29" s="1">
        <f t="shared" si="2"/>
        <v>0.7</v>
      </c>
      <c r="D29" s="1">
        <v>0.1</v>
      </c>
      <c r="E29" s="3">
        <f t="shared" si="3"/>
        <v>0.13650000000000001</v>
      </c>
      <c r="F29" s="3">
        <f t="shared" si="4"/>
        <v>1.95</v>
      </c>
      <c r="H29">
        <f t="shared" si="5"/>
        <v>2.0699999999999998</v>
      </c>
      <c r="I29">
        <f t="shared" si="6"/>
        <v>10.749999999999998</v>
      </c>
      <c r="J29" s="29">
        <v>11</v>
      </c>
    </row>
    <row r="30" spans="2:18" x14ac:dyDescent="0.25">
      <c r="B30" s="1">
        <v>2.85</v>
      </c>
      <c r="C30" s="1">
        <f t="shared" si="2"/>
        <v>0.7</v>
      </c>
      <c r="D30" s="1">
        <v>0.1</v>
      </c>
      <c r="E30" s="3">
        <f t="shared" si="3"/>
        <v>0.1855</v>
      </c>
      <c r="F30" s="3">
        <f t="shared" si="4"/>
        <v>2.65</v>
      </c>
      <c r="H30">
        <f t="shared" si="5"/>
        <v>2.77</v>
      </c>
      <c r="I30">
        <f t="shared" si="6"/>
        <v>14.25</v>
      </c>
      <c r="J30" s="29">
        <v>15</v>
      </c>
    </row>
    <row r="31" spans="2:18" x14ac:dyDescent="0.25">
      <c r="B31" s="1">
        <v>5.75</v>
      </c>
      <c r="C31" s="1">
        <f t="shared" si="2"/>
        <v>0.7</v>
      </c>
      <c r="D31" s="1">
        <v>0.1</v>
      </c>
      <c r="E31" s="3">
        <f t="shared" si="3"/>
        <v>0.38850000000000001</v>
      </c>
      <c r="F31" s="3">
        <f t="shared" si="4"/>
        <v>5.55</v>
      </c>
      <c r="H31">
        <f t="shared" si="5"/>
        <v>5.67</v>
      </c>
      <c r="I31">
        <f t="shared" si="6"/>
        <v>28.75</v>
      </c>
      <c r="J31" s="29">
        <v>29</v>
      </c>
    </row>
    <row r="32" spans="2:18" x14ac:dyDescent="0.25">
      <c r="B32" s="1">
        <v>4.3499999999999996</v>
      </c>
      <c r="C32" s="1">
        <f t="shared" si="2"/>
        <v>0.7</v>
      </c>
      <c r="D32" s="1">
        <v>0.1</v>
      </c>
      <c r="E32" s="3">
        <f t="shared" si="3"/>
        <v>0.29049999999999992</v>
      </c>
      <c r="F32" s="3">
        <f t="shared" si="4"/>
        <v>4.1499999999999995</v>
      </c>
      <c r="H32">
        <f t="shared" si="5"/>
        <v>4.2699999999999996</v>
      </c>
      <c r="I32">
        <f t="shared" si="6"/>
        <v>21.749999999999996</v>
      </c>
      <c r="J32" s="29">
        <v>22</v>
      </c>
    </row>
    <row r="33" spans="2:10" x14ac:dyDescent="0.25">
      <c r="B33" s="1">
        <v>4.3499999999999996</v>
      </c>
      <c r="C33" s="1">
        <f t="shared" si="2"/>
        <v>0.7</v>
      </c>
      <c r="D33" s="1">
        <v>0.1</v>
      </c>
      <c r="E33" s="3">
        <f t="shared" si="3"/>
        <v>0.29049999999999992</v>
      </c>
      <c r="F33" s="3">
        <f t="shared" si="4"/>
        <v>4.1499999999999995</v>
      </c>
      <c r="H33">
        <f t="shared" si="5"/>
        <v>4.2699999999999996</v>
      </c>
      <c r="I33">
        <f t="shared" si="6"/>
        <v>21.749999999999996</v>
      </c>
      <c r="J33" s="29">
        <v>22</v>
      </c>
    </row>
    <row r="34" spans="2:10" x14ac:dyDescent="0.25">
      <c r="B34" s="1">
        <v>4.3499999999999996</v>
      </c>
      <c r="C34" s="1">
        <f t="shared" si="2"/>
        <v>0.7</v>
      </c>
      <c r="D34" s="1">
        <v>0.1</v>
      </c>
      <c r="E34" s="3">
        <f t="shared" si="3"/>
        <v>0.29049999999999992</v>
      </c>
      <c r="F34" s="3">
        <f t="shared" si="4"/>
        <v>4.1499999999999995</v>
      </c>
      <c r="H34">
        <f t="shared" si="5"/>
        <v>4.2699999999999996</v>
      </c>
      <c r="I34">
        <f t="shared" si="6"/>
        <v>21.749999999999996</v>
      </c>
      <c r="J34" s="29">
        <v>22</v>
      </c>
    </row>
    <row r="35" spans="2:10" x14ac:dyDescent="0.25">
      <c r="B35" s="1">
        <v>2.85</v>
      </c>
      <c r="C35" s="1">
        <f t="shared" si="2"/>
        <v>0.7</v>
      </c>
      <c r="D35" s="1">
        <v>0.1</v>
      </c>
      <c r="E35" s="3">
        <f t="shared" si="3"/>
        <v>0.1855</v>
      </c>
      <c r="F35" s="3">
        <f t="shared" si="4"/>
        <v>2.65</v>
      </c>
      <c r="H35">
        <f t="shared" si="5"/>
        <v>2.77</v>
      </c>
      <c r="I35">
        <f t="shared" si="6"/>
        <v>14.25</v>
      </c>
      <c r="J35" s="29">
        <v>15</v>
      </c>
    </row>
    <row r="36" spans="2:10" x14ac:dyDescent="0.25">
      <c r="B36" s="1">
        <v>5.9749999999999996</v>
      </c>
      <c r="C36" s="1">
        <f t="shared" si="2"/>
        <v>0.7</v>
      </c>
      <c r="D36" s="1">
        <v>0.1</v>
      </c>
      <c r="E36" s="3">
        <f t="shared" si="3"/>
        <v>0.40425</v>
      </c>
      <c r="F36" s="3">
        <f t="shared" si="4"/>
        <v>5.7749999999999995</v>
      </c>
      <c r="H36">
        <f t="shared" si="5"/>
        <v>5.8949999999999996</v>
      </c>
      <c r="I36">
        <f t="shared" si="6"/>
        <v>29.874999999999996</v>
      </c>
      <c r="J36" s="29">
        <v>30</v>
      </c>
    </row>
    <row r="37" spans="2:10" x14ac:dyDescent="0.25">
      <c r="B37" s="1">
        <v>3.7749999999999999</v>
      </c>
      <c r="C37" s="1">
        <f t="shared" si="2"/>
        <v>0.7</v>
      </c>
      <c r="D37" s="1">
        <v>0.1</v>
      </c>
      <c r="E37" s="3">
        <f t="shared" si="3"/>
        <v>0.25024999999999997</v>
      </c>
      <c r="F37" s="3">
        <f t="shared" si="4"/>
        <v>3.5749999999999997</v>
      </c>
      <c r="H37">
        <f t="shared" si="5"/>
        <v>3.6949999999999998</v>
      </c>
      <c r="I37">
        <f t="shared" si="6"/>
        <v>18.875</v>
      </c>
      <c r="J37" s="29">
        <v>19</v>
      </c>
    </row>
    <row r="38" spans="2:10" x14ac:dyDescent="0.25">
      <c r="B38" s="1">
        <v>4.3499999999999996</v>
      </c>
      <c r="C38" s="1">
        <f t="shared" si="2"/>
        <v>0.7</v>
      </c>
      <c r="D38" s="1">
        <v>0.1</v>
      </c>
      <c r="E38" s="3">
        <f t="shared" si="3"/>
        <v>0.29049999999999992</v>
      </c>
      <c r="F38" s="3">
        <f t="shared" si="4"/>
        <v>4.1499999999999995</v>
      </c>
      <c r="H38">
        <f t="shared" si="5"/>
        <v>4.2699999999999996</v>
      </c>
      <c r="I38">
        <f t="shared" si="6"/>
        <v>21.749999999999996</v>
      </c>
      <c r="J38" s="29">
        <v>22</v>
      </c>
    </row>
    <row r="39" spans="2:10" x14ac:dyDescent="0.25">
      <c r="B39" s="1">
        <v>4.3499999999999996</v>
      </c>
      <c r="C39" s="1">
        <f t="shared" si="2"/>
        <v>0.7</v>
      </c>
      <c r="D39" s="1">
        <v>0.1</v>
      </c>
      <c r="E39" s="3">
        <f t="shared" si="3"/>
        <v>0.29049999999999992</v>
      </c>
      <c r="F39" s="3">
        <f t="shared" si="4"/>
        <v>4.1499999999999995</v>
      </c>
      <c r="H39">
        <f t="shared" si="5"/>
        <v>4.2699999999999996</v>
      </c>
      <c r="I39">
        <f t="shared" si="6"/>
        <v>21.749999999999996</v>
      </c>
      <c r="J39" s="29">
        <v>22</v>
      </c>
    </row>
    <row r="40" spans="2:10" x14ac:dyDescent="0.25">
      <c r="B40" s="1">
        <v>4.3499999999999996</v>
      </c>
      <c r="C40" s="1">
        <f t="shared" si="2"/>
        <v>0.7</v>
      </c>
      <c r="D40" s="1">
        <v>0.1</v>
      </c>
      <c r="E40" s="3">
        <f t="shared" si="3"/>
        <v>0.29049999999999992</v>
      </c>
      <c r="F40" s="3">
        <f t="shared" si="4"/>
        <v>4.1499999999999995</v>
      </c>
      <c r="H40">
        <f t="shared" si="5"/>
        <v>4.2699999999999996</v>
      </c>
      <c r="I40">
        <f t="shared" si="6"/>
        <v>21.749999999999996</v>
      </c>
      <c r="J40" s="29">
        <v>22</v>
      </c>
    </row>
    <row r="41" spans="2:10" x14ac:dyDescent="0.25">
      <c r="B41" s="1">
        <v>4.3499999999999996</v>
      </c>
      <c r="C41" s="1">
        <f t="shared" si="2"/>
        <v>0.7</v>
      </c>
      <c r="D41" s="1">
        <v>0.1</v>
      </c>
      <c r="E41" s="3">
        <f t="shared" si="3"/>
        <v>0.29049999999999992</v>
      </c>
      <c r="F41" s="3">
        <f t="shared" si="4"/>
        <v>4.1499999999999995</v>
      </c>
      <c r="H41">
        <f t="shared" si="5"/>
        <v>4.2699999999999996</v>
      </c>
      <c r="I41">
        <f t="shared" si="6"/>
        <v>21.749999999999996</v>
      </c>
      <c r="J41" s="29">
        <v>22</v>
      </c>
    </row>
    <row r="42" spans="2:10" x14ac:dyDescent="0.25">
      <c r="B42" s="1">
        <v>4.3499999999999996</v>
      </c>
      <c r="C42" s="1">
        <f t="shared" si="2"/>
        <v>0.7</v>
      </c>
      <c r="D42" s="1">
        <v>0.1</v>
      </c>
      <c r="E42" s="3">
        <f t="shared" si="3"/>
        <v>0.29049999999999992</v>
      </c>
      <c r="F42" s="3">
        <f t="shared" si="4"/>
        <v>4.1499999999999995</v>
      </c>
      <c r="H42">
        <f t="shared" si="5"/>
        <v>4.2699999999999996</v>
      </c>
      <c r="I42">
        <f t="shared" si="6"/>
        <v>21.749999999999996</v>
      </c>
      <c r="J42" s="29">
        <v>22</v>
      </c>
    </row>
    <row r="43" spans="2:10" x14ac:dyDescent="0.25">
      <c r="B43" s="1">
        <v>4.3499999999999996</v>
      </c>
      <c r="C43" s="1">
        <f t="shared" si="2"/>
        <v>0.7</v>
      </c>
      <c r="D43" s="1">
        <v>0.1</v>
      </c>
      <c r="E43" s="3">
        <f t="shared" si="3"/>
        <v>0.29049999999999992</v>
      </c>
      <c r="F43" s="3">
        <f t="shared" si="4"/>
        <v>4.1499999999999995</v>
      </c>
      <c r="H43">
        <f t="shared" si="5"/>
        <v>4.2699999999999996</v>
      </c>
      <c r="I43">
        <f t="shared" si="6"/>
        <v>21.749999999999996</v>
      </c>
      <c r="J43" s="29">
        <v>22</v>
      </c>
    </row>
    <row r="44" spans="2:10" x14ac:dyDescent="0.25">
      <c r="B44" s="1">
        <v>2.85</v>
      </c>
      <c r="C44" s="1">
        <f t="shared" si="2"/>
        <v>0.7</v>
      </c>
      <c r="D44" s="1">
        <v>0.1</v>
      </c>
      <c r="E44" s="3">
        <f t="shared" si="3"/>
        <v>0.1855</v>
      </c>
      <c r="F44" s="3">
        <f t="shared" si="4"/>
        <v>2.65</v>
      </c>
      <c r="H44">
        <f t="shared" si="5"/>
        <v>2.77</v>
      </c>
      <c r="I44">
        <f t="shared" si="6"/>
        <v>14.25</v>
      </c>
      <c r="J44" s="29">
        <v>15</v>
      </c>
    </row>
    <row r="45" spans="2:10" x14ac:dyDescent="0.25">
      <c r="B45" s="1">
        <v>5.75</v>
      </c>
      <c r="C45" s="1">
        <f t="shared" si="2"/>
        <v>0.7</v>
      </c>
      <c r="D45" s="1">
        <v>0.1</v>
      </c>
      <c r="E45" s="3">
        <f t="shared" si="3"/>
        <v>0.38850000000000001</v>
      </c>
      <c r="F45" s="3">
        <f t="shared" si="4"/>
        <v>5.55</v>
      </c>
      <c r="H45">
        <f t="shared" si="5"/>
        <v>5.67</v>
      </c>
      <c r="I45">
        <f t="shared" si="6"/>
        <v>28.75</v>
      </c>
      <c r="J45" s="29">
        <v>29</v>
      </c>
    </row>
    <row r="46" spans="2:10" x14ac:dyDescent="0.25">
      <c r="B46" s="1">
        <v>5.75</v>
      </c>
      <c r="C46" s="1">
        <f t="shared" si="2"/>
        <v>0.7</v>
      </c>
      <c r="D46" s="1">
        <v>0.1</v>
      </c>
      <c r="E46" s="3">
        <f t="shared" si="3"/>
        <v>0.38850000000000001</v>
      </c>
      <c r="F46" s="3">
        <f t="shared" si="4"/>
        <v>5.55</v>
      </c>
      <c r="H46">
        <f t="shared" si="5"/>
        <v>5.67</v>
      </c>
      <c r="I46">
        <f t="shared" si="6"/>
        <v>28.75</v>
      </c>
      <c r="J46" s="29">
        <v>29</v>
      </c>
    </row>
    <row r="47" spans="2:10" x14ac:dyDescent="0.25">
      <c r="B47" s="1">
        <v>2.85</v>
      </c>
      <c r="C47" s="1">
        <f t="shared" si="2"/>
        <v>0.7</v>
      </c>
      <c r="D47" s="1">
        <v>0.1</v>
      </c>
      <c r="E47" s="3">
        <f t="shared" si="3"/>
        <v>0.1855</v>
      </c>
      <c r="F47" s="3">
        <f t="shared" si="4"/>
        <v>2.65</v>
      </c>
      <c r="H47">
        <f t="shared" si="5"/>
        <v>2.77</v>
      </c>
      <c r="I47">
        <f t="shared" si="6"/>
        <v>14.25</v>
      </c>
      <c r="J47" s="29">
        <v>15</v>
      </c>
    </row>
    <row r="48" spans="2:10" x14ac:dyDescent="0.25">
      <c r="B48" s="1">
        <v>4.4749999999999996</v>
      </c>
      <c r="C48" s="1">
        <f t="shared" si="2"/>
        <v>0.7</v>
      </c>
      <c r="D48" s="1">
        <v>0.1</v>
      </c>
      <c r="E48" s="3">
        <f t="shared" si="3"/>
        <v>0.29924999999999996</v>
      </c>
      <c r="F48" s="3">
        <f t="shared" si="4"/>
        <v>4.2749999999999995</v>
      </c>
      <c r="H48">
        <f t="shared" si="5"/>
        <v>4.3949999999999996</v>
      </c>
      <c r="I48">
        <f t="shared" si="6"/>
        <v>22.374999999999996</v>
      </c>
      <c r="J48" s="29">
        <v>23</v>
      </c>
    </row>
    <row r="49" spans="2:10" x14ac:dyDescent="0.25">
      <c r="B49" s="1">
        <v>1.575</v>
      </c>
      <c r="C49" s="1">
        <f t="shared" si="2"/>
        <v>0.7</v>
      </c>
      <c r="D49" s="1">
        <v>0.1</v>
      </c>
      <c r="E49" s="3">
        <f t="shared" si="3"/>
        <v>9.6250000000000002E-2</v>
      </c>
      <c r="F49" s="3">
        <f t="shared" si="4"/>
        <v>1.375</v>
      </c>
      <c r="H49">
        <f t="shared" si="5"/>
        <v>1.4949999999999999</v>
      </c>
      <c r="I49">
        <f t="shared" si="6"/>
        <v>7.8749999999999991</v>
      </c>
      <c r="J49" s="29">
        <v>8</v>
      </c>
    </row>
    <row r="50" spans="2:10" x14ac:dyDescent="0.25">
      <c r="B50" s="1">
        <v>4.3499999999999996</v>
      </c>
      <c r="C50" s="1">
        <f t="shared" si="2"/>
        <v>0.7</v>
      </c>
      <c r="D50" s="1">
        <v>0.1</v>
      </c>
      <c r="E50" s="3">
        <f t="shared" si="3"/>
        <v>0.29049999999999992</v>
      </c>
      <c r="F50" s="3">
        <f t="shared" si="4"/>
        <v>4.1499999999999995</v>
      </c>
      <c r="H50">
        <f t="shared" si="5"/>
        <v>4.2699999999999996</v>
      </c>
      <c r="I50">
        <f t="shared" si="6"/>
        <v>21.749999999999996</v>
      </c>
      <c r="J50" s="29">
        <v>22</v>
      </c>
    </row>
    <row r="51" spans="2:10" x14ac:dyDescent="0.25">
      <c r="B51" s="1">
        <v>4.3499999999999996</v>
      </c>
      <c r="C51" s="1">
        <f t="shared" si="2"/>
        <v>0.7</v>
      </c>
      <c r="D51" s="1">
        <v>0.1</v>
      </c>
      <c r="E51" s="3">
        <f t="shared" si="3"/>
        <v>0.29049999999999992</v>
      </c>
      <c r="F51" s="3">
        <f t="shared" si="4"/>
        <v>4.1499999999999995</v>
      </c>
      <c r="H51">
        <f t="shared" si="5"/>
        <v>4.2699999999999996</v>
      </c>
      <c r="I51">
        <f t="shared" si="6"/>
        <v>21.749999999999996</v>
      </c>
      <c r="J51" s="29">
        <v>22</v>
      </c>
    </row>
    <row r="52" spans="2:10" x14ac:dyDescent="0.25">
      <c r="B52" s="1">
        <v>4.3499999999999996</v>
      </c>
      <c r="C52" s="1">
        <f t="shared" si="2"/>
        <v>0.7</v>
      </c>
      <c r="D52" s="1">
        <v>0.1</v>
      </c>
      <c r="E52" s="3">
        <f t="shared" si="3"/>
        <v>0.29049999999999992</v>
      </c>
      <c r="F52" s="3">
        <f t="shared" si="4"/>
        <v>4.1499999999999995</v>
      </c>
      <c r="H52">
        <f t="shared" si="5"/>
        <v>4.2699999999999996</v>
      </c>
      <c r="I52">
        <f t="shared" si="6"/>
        <v>21.749999999999996</v>
      </c>
      <c r="J52" s="29">
        <v>22</v>
      </c>
    </row>
    <row r="53" spans="2:10" x14ac:dyDescent="0.25">
      <c r="B53" s="1">
        <v>4.3499999999999996</v>
      </c>
      <c r="C53" s="1">
        <f t="shared" si="2"/>
        <v>0.7</v>
      </c>
      <c r="D53" s="1">
        <v>0.1</v>
      </c>
      <c r="E53" s="3">
        <f t="shared" si="3"/>
        <v>0.29049999999999992</v>
      </c>
      <c r="F53" s="3">
        <f t="shared" si="4"/>
        <v>4.1499999999999995</v>
      </c>
      <c r="H53">
        <f t="shared" si="5"/>
        <v>4.2699999999999996</v>
      </c>
      <c r="I53">
        <f t="shared" si="6"/>
        <v>21.749999999999996</v>
      </c>
      <c r="J53" s="29">
        <v>22</v>
      </c>
    </row>
    <row r="54" spans="2:10" x14ac:dyDescent="0.25">
      <c r="B54" s="1">
        <v>2.85</v>
      </c>
      <c r="C54" s="1">
        <f t="shared" si="2"/>
        <v>0.7</v>
      </c>
      <c r="D54" s="1">
        <v>0.1</v>
      </c>
      <c r="E54" s="3">
        <f t="shared" si="3"/>
        <v>0.1855</v>
      </c>
      <c r="F54" s="3">
        <f t="shared" si="4"/>
        <v>2.65</v>
      </c>
      <c r="H54">
        <f t="shared" si="5"/>
        <v>2.77</v>
      </c>
      <c r="I54">
        <f t="shared" si="6"/>
        <v>14.25</v>
      </c>
      <c r="J54" s="29">
        <v>15</v>
      </c>
    </row>
    <row r="55" spans="2:10" x14ac:dyDescent="0.25">
      <c r="B55" s="1">
        <v>4.3499999999999996</v>
      </c>
      <c r="C55" s="1">
        <f t="shared" si="2"/>
        <v>0.7</v>
      </c>
      <c r="D55" s="1">
        <v>0.1</v>
      </c>
      <c r="E55" s="3">
        <f t="shared" si="3"/>
        <v>0.29049999999999992</v>
      </c>
      <c r="F55" s="3">
        <f t="shared" si="4"/>
        <v>4.1499999999999995</v>
      </c>
      <c r="H55">
        <f t="shared" si="5"/>
        <v>4.2699999999999996</v>
      </c>
      <c r="I55">
        <f t="shared" si="6"/>
        <v>21.749999999999996</v>
      </c>
      <c r="J55" s="29">
        <v>22</v>
      </c>
    </row>
    <row r="56" spans="2:10" x14ac:dyDescent="0.25">
      <c r="B56" s="1">
        <v>4.3499999999999996</v>
      </c>
      <c r="C56" s="1">
        <f t="shared" si="2"/>
        <v>0.7</v>
      </c>
      <c r="D56" s="1">
        <v>0.1</v>
      </c>
      <c r="E56" s="3">
        <f t="shared" si="3"/>
        <v>0.29049999999999992</v>
      </c>
      <c r="F56" s="3">
        <f t="shared" si="4"/>
        <v>4.1499999999999995</v>
      </c>
      <c r="H56">
        <f t="shared" si="5"/>
        <v>4.2699999999999996</v>
      </c>
      <c r="I56">
        <f t="shared" si="6"/>
        <v>21.749999999999996</v>
      </c>
      <c r="J56" s="29">
        <v>22</v>
      </c>
    </row>
    <row r="57" spans="2:10" x14ac:dyDescent="0.25">
      <c r="B57" s="1">
        <v>4.3499999999999996</v>
      </c>
      <c r="C57" s="1">
        <f t="shared" si="2"/>
        <v>0.7</v>
      </c>
      <c r="D57" s="1">
        <v>0.1</v>
      </c>
      <c r="E57" s="3">
        <f t="shared" si="3"/>
        <v>0.29049999999999992</v>
      </c>
      <c r="F57" s="3">
        <f t="shared" si="4"/>
        <v>4.1499999999999995</v>
      </c>
      <c r="H57">
        <f t="shared" si="5"/>
        <v>4.2699999999999996</v>
      </c>
      <c r="I57">
        <f t="shared" si="6"/>
        <v>21.749999999999996</v>
      </c>
      <c r="J57" s="29">
        <v>22</v>
      </c>
    </row>
    <row r="58" spans="2:10" x14ac:dyDescent="0.25">
      <c r="B58" s="1">
        <v>5.75</v>
      </c>
      <c r="C58" s="1">
        <f t="shared" si="2"/>
        <v>0.7</v>
      </c>
      <c r="D58" s="1">
        <v>0.1</v>
      </c>
      <c r="E58" s="3">
        <f t="shared" si="3"/>
        <v>0.38850000000000001</v>
      </c>
      <c r="F58" s="3">
        <f t="shared" si="4"/>
        <v>5.55</v>
      </c>
      <c r="H58">
        <f t="shared" si="5"/>
        <v>5.67</v>
      </c>
      <c r="I58">
        <f t="shared" si="6"/>
        <v>28.75</v>
      </c>
      <c r="J58" s="29">
        <v>29</v>
      </c>
    </row>
    <row r="59" spans="2:10" x14ac:dyDescent="0.25">
      <c r="B59" s="1">
        <v>5.75</v>
      </c>
      <c r="C59" s="1">
        <f t="shared" si="2"/>
        <v>0.7</v>
      </c>
      <c r="D59" s="1">
        <v>0.1</v>
      </c>
      <c r="E59" s="3">
        <f t="shared" si="3"/>
        <v>0.38850000000000001</v>
      </c>
      <c r="F59" s="3">
        <f t="shared" si="4"/>
        <v>5.55</v>
      </c>
      <c r="H59">
        <f t="shared" si="5"/>
        <v>5.67</v>
      </c>
      <c r="I59">
        <f t="shared" si="6"/>
        <v>28.75</v>
      </c>
      <c r="J59" s="29">
        <v>29</v>
      </c>
    </row>
    <row r="60" spans="2:10" x14ac:dyDescent="0.25">
      <c r="B60" s="1">
        <v>2.85</v>
      </c>
      <c r="C60" s="1">
        <f t="shared" si="2"/>
        <v>0.7</v>
      </c>
      <c r="D60" s="1">
        <v>0.1</v>
      </c>
      <c r="E60" s="3">
        <f t="shared" si="3"/>
        <v>0.1855</v>
      </c>
      <c r="F60" s="3">
        <f t="shared" si="4"/>
        <v>2.65</v>
      </c>
      <c r="H60">
        <f t="shared" si="5"/>
        <v>2.77</v>
      </c>
      <c r="I60">
        <f t="shared" si="6"/>
        <v>14.25</v>
      </c>
      <c r="J60" s="29">
        <v>15</v>
      </c>
    </row>
    <row r="61" spans="2:10" x14ac:dyDescent="0.25">
      <c r="B61" s="1">
        <v>2.85</v>
      </c>
      <c r="C61" s="1">
        <f t="shared" si="2"/>
        <v>0.7</v>
      </c>
      <c r="D61" s="1">
        <v>0.1</v>
      </c>
      <c r="E61" s="3">
        <f t="shared" si="3"/>
        <v>0.1855</v>
      </c>
      <c r="F61" s="3">
        <f t="shared" si="4"/>
        <v>2.65</v>
      </c>
      <c r="H61">
        <f t="shared" si="5"/>
        <v>2.77</v>
      </c>
      <c r="I61">
        <f t="shared" si="6"/>
        <v>14.25</v>
      </c>
      <c r="J61" s="29">
        <v>15</v>
      </c>
    </row>
    <row r="62" spans="2:10" x14ac:dyDescent="0.25">
      <c r="B62" s="1">
        <v>4.3499999999999996</v>
      </c>
      <c r="C62" s="1">
        <f t="shared" si="2"/>
        <v>0.7</v>
      </c>
      <c r="D62" s="1">
        <v>0.1</v>
      </c>
      <c r="E62" s="3">
        <f t="shared" si="3"/>
        <v>0.29049999999999992</v>
      </c>
      <c r="F62" s="3">
        <f t="shared" si="4"/>
        <v>4.1499999999999995</v>
      </c>
      <c r="H62">
        <f t="shared" si="5"/>
        <v>4.2699999999999996</v>
      </c>
      <c r="I62">
        <f t="shared" si="6"/>
        <v>21.749999999999996</v>
      </c>
      <c r="J62" s="29">
        <v>22</v>
      </c>
    </row>
    <row r="63" spans="2:10" x14ac:dyDescent="0.25">
      <c r="B63" s="1">
        <v>4.3499999999999996</v>
      </c>
      <c r="C63" s="1">
        <f t="shared" si="2"/>
        <v>0.7</v>
      </c>
      <c r="D63" s="1">
        <v>0.1</v>
      </c>
      <c r="E63" s="3">
        <f t="shared" si="3"/>
        <v>0.29049999999999992</v>
      </c>
      <c r="F63" s="3">
        <f t="shared" si="4"/>
        <v>4.1499999999999995</v>
      </c>
      <c r="H63">
        <f t="shared" si="5"/>
        <v>4.2699999999999996</v>
      </c>
      <c r="I63">
        <f t="shared" si="6"/>
        <v>21.749999999999996</v>
      </c>
      <c r="J63" s="29">
        <v>22</v>
      </c>
    </row>
    <row r="64" spans="2:10" x14ac:dyDescent="0.25">
      <c r="B64" s="1">
        <v>4.3499999999999996</v>
      </c>
      <c r="C64" s="1">
        <f t="shared" si="2"/>
        <v>0.7</v>
      </c>
      <c r="D64" s="1">
        <v>0.1</v>
      </c>
      <c r="E64" s="3">
        <f t="shared" si="3"/>
        <v>0.29049999999999992</v>
      </c>
      <c r="F64" s="3">
        <f t="shared" si="4"/>
        <v>4.1499999999999995</v>
      </c>
      <c r="H64">
        <f t="shared" si="5"/>
        <v>4.2699999999999996</v>
      </c>
      <c r="I64">
        <f t="shared" si="6"/>
        <v>21.749999999999996</v>
      </c>
      <c r="J64" s="29">
        <v>22</v>
      </c>
    </row>
    <row r="65" spans="2:11" x14ac:dyDescent="0.25">
      <c r="B65" s="1">
        <v>4.3499999999999996</v>
      </c>
      <c r="C65" s="1">
        <f t="shared" si="2"/>
        <v>0.7</v>
      </c>
      <c r="D65" s="1">
        <v>0.1</v>
      </c>
      <c r="E65" s="3">
        <f t="shared" si="3"/>
        <v>0.29049999999999992</v>
      </c>
      <c r="F65" s="3">
        <f t="shared" si="4"/>
        <v>4.1499999999999995</v>
      </c>
      <c r="H65">
        <f t="shared" si="5"/>
        <v>4.2699999999999996</v>
      </c>
      <c r="I65">
        <f t="shared" si="6"/>
        <v>21.749999999999996</v>
      </c>
      <c r="J65" s="29">
        <v>22</v>
      </c>
    </row>
    <row r="66" spans="2:11" x14ac:dyDescent="0.25">
      <c r="B66" s="1">
        <v>2.585</v>
      </c>
      <c r="C66" s="1">
        <f t="shared" si="2"/>
        <v>0.7</v>
      </c>
      <c r="D66" s="1">
        <v>0.1</v>
      </c>
      <c r="E66" s="3">
        <f t="shared" si="3"/>
        <v>0.16694999999999999</v>
      </c>
      <c r="F66" s="3">
        <f t="shared" si="4"/>
        <v>2.3849999999999998</v>
      </c>
      <c r="H66">
        <f t="shared" si="5"/>
        <v>2.5049999999999999</v>
      </c>
      <c r="I66">
        <f t="shared" si="6"/>
        <v>12.924999999999999</v>
      </c>
      <c r="J66" s="29">
        <v>13</v>
      </c>
    </row>
    <row r="67" spans="2:11" x14ac:dyDescent="0.25">
      <c r="B67" s="26">
        <f>3.775</f>
        <v>3.7749999999999999</v>
      </c>
      <c r="C67" s="1">
        <f t="shared" si="2"/>
        <v>0.7</v>
      </c>
      <c r="D67" s="1">
        <v>0.1</v>
      </c>
      <c r="E67" s="3">
        <f t="shared" si="3"/>
        <v>0.25024999999999997</v>
      </c>
      <c r="F67" s="3">
        <f t="shared" si="4"/>
        <v>3.5749999999999997</v>
      </c>
      <c r="H67">
        <f t="shared" si="5"/>
        <v>3.6949999999999998</v>
      </c>
      <c r="I67">
        <f t="shared" si="6"/>
        <v>18.875</v>
      </c>
      <c r="J67" s="29">
        <v>19</v>
      </c>
    </row>
    <row r="68" spans="2:11" x14ac:dyDescent="0.25">
      <c r="B68" s="1">
        <v>4.3499999999999996</v>
      </c>
      <c r="C68" s="1">
        <f t="shared" si="2"/>
        <v>0.7</v>
      </c>
      <c r="D68" s="1">
        <v>0.1</v>
      </c>
      <c r="E68" s="3">
        <f t="shared" si="3"/>
        <v>0.29049999999999992</v>
      </c>
      <c r="F68" s="3">
        <f t="shared" si="4"/>
        <v>4.1499999999999995</v>
      </c>
      <c r="H68">
        <f t="shared" si="5"/>
        <v>4.2699999999999996</v>
      </c>
      <c r="I68">
        <f t="shared" si="6"/>
        <v>21.749999999999996</v>
      </c>
      <c r="J68" s="29">
        <v>22</v>
      </c>
    </row>
    <row r="69" spans="2:11" x14ac:dyDescent="0.25">
      <c r="B69" s="1">
        <v>4.3499999999999996</v>
      </c>
      <c r="C69" s="1">
        <f t="shared" si="2"/>
        <v>0.7</v>
      </c>
      <c r="D69" s="1">
        <v>0.1</v>
      </c>
      <c r="E69" s="3">
        <f t="shared" si="3"/>
        <v>0.29049999999999992</v>
      </c>
      <c r="F69" s="3">
        <f t="shared" si="4"/>
        <v>4.1499999999999995</v>
      </c>
      <c r="H69">
        <f t="shared" si="5"/>
        <v>4.2699999999999996</v>
      </c>
      <c r="I69">
        <f t="shared" si="6"/>
        <v>21.749999999999996</v>
      </c>
      <c r="J69" s="29">
        <v>22</v>
      </c>
    </row>
    <row r="70" spans="2:11" x14ac:dyDescent="0.25">
      <c r="B70" s="1">
        <v>4.3499999999999996</v>
      </c>
      <c r="C70" s="1">
        <f t="shared" ref="C70:C86" si="10">0.5+0.1+0.1</f>
        <v>0.7</v>
      </c>
      <c r="D70" s="1">
        <v>0.1</v>
      </c>
      <c r="E70" s="3">
        <f t="shared" ref="E70:E86" si="11">F70*C70*D70</f>
        <v>0.29049999999999992</v>
      </c>
      <c r="F70" s="3">
        <f t="shared" ref="F70:F86" si="12">B70-0.2</f>
        <v>4.1499999999999995</v>
      </c>
      <c r="H70">
        <f t="shared" ref="H70:H86" si="13">B70-0.08</f>
        <v>4.2699999999999996</v>
      </c>
      <c r="I70">
        <f t="shared" ref="I70:I86" si="14">(B70/0.2)</f>
        <v>21.749999999999996</v>
      </c>
      <c r="J70" s="29">
        <v>22</v>
      </c>
    </row>
    <row r="71" spans="2:11" x14ac:dyDescent="0.25">
      <c r="B71" s="1">
        <v>4.3499999999999996</v>
      </c>
      <c r="C71" s="1">
        <f t="shared" si="10"/>
        <v>0.7</v>
      </c>
      <c r="D71" s="1">
        <v>0.1</v>
      </c>
      <c r="E71" s="3">
        <f t="shared" si="11"/>
        <v>0.29049999999999992</v>
      </c>
      <c r="F71" s="3">
        <f t="shared" si="12"/>
        <v>4.1499999999999995</v>
      </c>
      <c r="H71">
        <f t="shared" si="13"/>
        <v>4.2699999999999996</v>
      </c>
      <c r="I71">
        <f t="shared" si="14"/>
        <v>21.749999999999996</v>
      </c>
      <c r="J71" s="29">
        <v>22</v>
      </c>
    </row>
    <row r="72" spans="2:11" x14ac:dyDescent="0.25">
      <c r="B72" s="1">
        <v>4.3499999999999996</v>
      </c>
      <c r="C72" s="1">
        <f t="shared" si="10"/>
        <v>0.7</v>
      </c>
      <c r="D72" s="1">
        <v>0.1</v>
      </c>
      <c r="E72" s="3">
        <f t="shared" si="11"/>
        <v>0.29049999999999992</v>
      </c>
      <c r="F72" s="3">
        <f t="shared" si="12"/>
        <v>4.1499999999999995</v>
      </c>
      <c r="H72">
        <f t="shared" si="13"/>
        <v>4.2699999999999996</v>
      </c>
      <c r="I72">
        <f t="shared" si="14"/>
        <v>21.749999999999996</v>
      </c>
      <c r="J72" s="29">
        <v>22</v>
      </c>
    </row>
    <row r="73" spans="2:11" x14ac:dyDescent="0.25">
      <c r="B73" s="1">
        <v>2.15</v>
      </c>
      <c r="C73" s="1">
        <f t="shared" si="10"/>
        <v>0.7</v>
      </c>
      <c r="D73" s="1">
        <v>0.1</v>
      </c>
      <c r="E73" s="3">
        <f t="shared" si="11"/>
        <v>0.13650000000000001</v>
      </c>
      <c r="F73" s="3">
        <f t="shared" si="12"/>
        <v>1.95</v>
      </c>
      <c r="H73">
        <f t="shared" si="13"/>
        <v>2.0699999999999998</v>
      </c>
      <c r="I73">
        <f t="shared" si="14"/>
        <v>10.749999999999998</v>
      </c>
      <c r="J73" s="29">
        <v>11</v>
      </c>
    </row>
    <row r="74" spans="2:11" x14ac:dyDescent="0.25">
      <c r="B74" s="1">
        <v>4.3499999999999996</v>
      </c>
      <c r="C74" s="1">
        <f t="shared" si="10"/>
        <v>0.7</v>
      </c>
      <c r="D74" s="1">
        <v>0.1</v>
      </c>
      <c r="E74" s="3">
        <f t="shared" si="11"/>
        <v>0.29049999999999992</v>
      </c>
      <c r="F74" s="3">
        <f t="shared" si="12"/>
        <v>4.1499999999999995</v>
      </c>
      <c r="H74">
        <f t="shared" si="13"/>
        <v>4.2699999999999996</v>
      </c>
      <c r="I74">
        <f t="shared" si="14"/>
        <v>21.749999999999996</v>
      </c>
      <c r="J74" s="29">
        <v>22</v>
      </c>
    </row>
    <row r="75" spans="2:11" x14ac:dyDescent="0.25">
      <c r="B75" s="1">
        <v>4.3499999999999996</v>
      </c>
      <c r="C75" s="1">
        <f t="shared" si="10"/>
        <v>0.7</v>
      </c>
      <c r="D75" s="1">
        <v>0.1</v>
      </c>
      <c r="E75" s="3">
        <f t="shared" si="11"/>
        <v>0.29049999999999992</v>
      </c>
      <c r="F75" s="3">
        <f t="shared" si="12"/>
        <v>4.1499999999999995</v>
      </c>
      <c r="H75">
        <f t="shared" si="13"/>
        <v>4.2699999999999996</v>
      </c>
      <c r="I75">
        <f t="shared" si="14"/>
        <v>21.749999999999996</v>
      </c>
      <c r="J75" s="29">
        <v>22</v>
      </c>
    </row>
    <row r="76" spans="2:11" x14ac:dyDescent="0.25">
      <c r="B76" s="1">
        <v>4.3499999999999996</v>
      </c>
      <c r="C76" s="1">
        <f t="shared" si="10"/>
        <v>0.7</v>
      </c>
      <c r="D76" s="1">
        <v>0.1</v>
      </c>
      <c r="E76" s="3">
        <f t="shared" si="11"/>
        <v>0.29049999999999992</v>
      </c>
      <c r="F76" s="3">
        <f t="shared" si="12"/>
        <v>4.1499999999999995</v>
      </c>
      <c r="H76">
        <f t="shared" si="13"/>
        <v>4.2699999999999996</v>
      </c>
      <c r="I76">
        <f t="shared" si="14"/>
        <v>21.749999999999996</v>
      </c>
      <c r="J76" s="29">
        <v>22</v>
      </c>
    </row>
    <row r="77" spans="2:11" x14ac:dyDescent="0.25">
      <c r="B77" s="1">
        <v>4.3499999999999996</v>
      </c>
      <c r="C77" s="1">
        <f t="shared" si="10"/>
        <v>0.7</v>
      </c>
      <c r="D77" s="1">
        <v>0.1</v>
      </c>
      <c r="E77" s="3">
        <f t="shared" si="11"/>
        <v>0.29049999999999992</v>
      </c>
      <c r="F77" s="3">
        <f t="shared" si="12"/>
        <v>4.1499999999999995</v>
      </c>
      <c r="H77">
        <f t="shared" si="13"/>
        <v>4.2699999999999996</v>
      </c>
      <c r="I77">
        <f t="shared" si="14"/>
        <v>21.749999999999996</v>
      </c>
      <c r="J77" s="29">
        <v>22</v>
      </c>
    </row>
    <row r="78" spans="2:11" x14ac:dyDescent="0.25">
      <c r="B78" s="1">
        <v>2.15</v>
      </c>
      <c r="C78" s="1">
        <f t="shared" si="10"/>
        <v>0.7</v>
      </c>
      <c r="D78" s="1">
        <v>0.1</v>
      </c>
      <c r="E78" s="3">
        <f t="shared" si="11"/>
        <v>0.13650000000000001</v>
      </c>
      <c r="F78" s="3">
        <f t="shared" si="12"/>
        <v>1.95</v>
      </c>
      <c r="H78">
        <f t="shared" si="13"/>
        <v>2.0699999999999998</v>
      </c>
      <c r="I78">
        <f t="shared" si="14"/>
        <v>10.749999999999998</v>
      </c>
      <c r="J78" s="29">
        <v>11</v>
      </c>
    </row>
    <row r="79" spans="2:11" x14ac:dyDescent="0.25">
      <c r="B79" s="1">
        <v>3.6749999999999998</v>
      </c>
      <c r="C79" s="1">
        <f t="shared" si="10"/>
        <v>0.7</v>
      </c>
      <c r="D79" s="1">
        <v>0.1</v>
      </c>
      <c r="E79" s="3">
        <f t="shared" si="11"/>
        <v>0.24324999999999997</v>
      </c>
      <c r="F79" s="3">
        <f t="shared" si="12"/>
        <v>3.4749999999999996</v>
      </c>
      <c r="H79">
        <f t="shared" si="13"/>
        <v>3.5949999999999998</v>
      </c>
      <c r="I79">
        <f t="shared" si="14"/>
        <v>18.374999999999996</v>
      </c>
      <c r="J79" s="29">
        <v>19</v>
      </c>
    </row>
    <row r="80" spans="2:11" x14ac:dyDescent="0.25">
      <c r="B80" s="1">
        <v>4.3499999999999996</v>
      </c>
      <c r="C80" s="1">
        <f t="shared" si="10"/>
        <v>0.7</v>
      </c>
      <c r="D80" s="1">
        <v>0.1</v>
      </c>
      <c r="E80" s="3">
        <f t="shared" si="11"/>
        <v>0.29049999999999992</v>
      </c>
      <c r="F80" s="3">
        <f t="shared" si="12"/>
        <v>4.1499999999999995</v>
      </c>
      <c r="H80">
        <f t="shared" si="13"/>
        <v>4.2699999999999996</v>
      </c>
      <c r="I80">
        <f t="shared" si="14"/>
        <v>21.749999999999996</v>
      </c>
      <c r="J80" s="29">
        <v>22</v>
      </c>
      <c r="K80" s="30"/>
    </row>
    <row r="81" spans="1:10" x14ac:dyDescent="0.25">
      <c r="B81" s="1">
        <v>4.3499999999999996</v>
      </c>
      <c r="C81" s="1">
        <f t="shared" si="10"/>
        <v>0.7</v>
      </c>
      <c r="D81" s="1">
        <v>0.1</v>
      </c>
      <c r="E81" s="3">
        <f t="shared" si="11"/>
        <v>0.29049999999999992</v>
      </c>
      <c r="F81" s="3">
        <f t="shared" si="12"/>
        <v>4.1499999999999995</v>
      </c>
      <c r="H81">
        <f t="shared" si="13"/>
        <v>4.2699999999999996</v>
      </c>
      <c r="I81">
        <f t="shared" si="14"/>
        <v>21.749999999999996</v>
      </c>
      <c r="J81" s="29">
        <v>22</v>
      </c>
    </row>
    <row r="82" spans="1:10" x14ac:dyDescent="0.25">
      <c r="B82" s="1">
        <v>4.3499999999999996</v>
      </c>
      <c r="C82" s="1">
        <f t="shared" si="10"/>
        <v>0.7</v>
      </c>
      <c r="D82" s="1">
        <v>0.1</v>
      </c>
      <c r="E82" s="3">
        <f t="shared" si="11"/>
        <v>0.29049999999999992</v>
      </c>
      <c r="F82" s="3">
        <f t="shared" si="12"/>
        <v>4.1499999999999995</v>
      </c>
      <c r="H82">
        <f t="shared" si="13"/>
        <v>4.2699999999999996</v>
      </c>
      <c r="I82">
        <f t="shared" si="14"/>
        <v>21.749999999999996</v>
      </c>
      <c r="J82" s="29">
        <v>22</v>
      </c>
    </row>
    <row r="83" spans="1:10" x14ac:dyDescent="0.25">
      <c r="B83" s="1">
        <v>4.3499999999999996</v>
      </c>
      <c r="C83" s="1">
        <f t="shared" si="10"/>
        <v>0.7</v>
      </c>
      <c r="D83" s="1">
        <v>0.1</v>
      </c>
      <c r="E83" s="3">
        <f t="shared" si="11"/>
        <v>0.29049999999999992</v>
      </c>
      <c r="F83" s="3">
        <f t="shared" si="12"/>
        <v>4.1499999999999995</v>
      </c>
      <c r="H83">
        <f t="shared" si="13"/>
        <v>4.2699999999999996</v>
      </c>
      <c r="I83">
        <f t="shared" si="14"/>
        <v>21.749999999999996</v>
      </c>
      <c r="J83" s="29">
        <v>22</v>
      </c>
    </row>
    <row r="84" spans="1:10" x14ac:dyDescent="0.25">
      <c r="B84" s="1">
        <v>4.3499999999999996</v>
      </c>
      <c r="C84" s="1">
        <f t="shared" si="10"/>
        <v>0.7</v>
      </c>
      <c r="D84" s="1">
        <v>0.1</v>
      </c>
      <c r="E84" s="3">
        <f t="shared" si="11"/>
        <v>0.29049999999999992</v>
      </c>
      <c r="F84" s="3">
        <f t="shared" si="12"/>
        <v>4.1499999999999995</v>
      </c>
      <c r="H84">
        <f t="shared" si="13"/>
        <v>4.2699999999999996</v>
      </c>
      <c r="I84">
        <f t="shared" si="14"/>
        <v>21.749999999999996</v>
      </c>
      <c r="J84" s="29">
        <v>22</v>
      </c>
    </row>
    <row r="85" spans="1:10" x14ac:dyDescent="0.25">
      <c r="B85" s="1">
        <v>1.575</v>
      </c>
      <c r="C85" s="1">
        <f t="shared" si="10"/>
        <v>0.7</v>
      </c>
      <c r="D85" s="1">
        <v>0.1</v>
      </c>
      <c r="E85" s="3">
        <f t="shared" si="11"/>
        <v>9.6250000000000002E-2</v>
      </c>
      <c r="F85" s="3">
        <f t="shared" si="12"/>
        <v>1.375</v>
      </c>
      <c r="H85">
        <f t="shared" si="13"/>
        <v>1.4949999999999999</v>
      </c>
      <c r="I85">
        <f t="shared" si="14"/>
        <v>7.8749999999999991</v>
      </c>
      <c r="J85" s="29">
        <v>8</v>
      </c>
    </row>
    <row r="86" spans="1:10" x14ac:dyDescent="0.25">
      <c r="B86" s="1">
        <v>4.3499999999999996</v>
      </c>
      <c r="C86" s="1">
        <f t="shared" si="10"/>
        <v>0.7</v>
      </c>
      <c r="D86" s="1">
        <v>0.1</v>
      </c>
      <c r="E86" s="3">
        <f t="shared" si="11"/>
        <v>0.29049999999999992</v>
      </c>
      <c r="F86" s="3">
        <f t="shared" si="12"/>
        <v>4.1499999999999995</v>
      </c>
      <c r="H86">
        <f t="shared" si="13"/>
        <v>4.2699999999999996</v>
      </c>
      <c r="I86">
        <f t="shared" si="14"/>
        <v>21.749999999999996</v>
      </c>
      <c r="J86" s="29">
        <v>22</v>
      </c>
    </row>
    <row r="87" spans="1:10" x14ac:dyDescent="0.25">
      <c r="B87" s="3">
        <f>SUM(B5:B86)</f>
        <v>334.96000000000009</v>
      </c>
      <c r="E87" s="4">
        <f>SUM(E5:E86)</f>
        <v>22.299200000000024</v>
      </c>
      <c r="F87" s="4"/>
      <c r="H87" s="5">
        <f>SUM(H5:H86)-H89-H90-H91</f>
        <v>325.93999999999988</v>
      </c>
      <c r="I87">
        <f>SUM(I5:I86)*2</f>
        <v>3349.6</v>
      </c>
      <c r="J87">
        <f>SUM(J5:J86)*2</f>
        <v>3400</v>
      </c>
    </row>
    <row r="89" spans="1:10" x14ac:dyDescent="0.25">
      <c r="B89" s="1" t="s">
        <v>34</v>
      </c>
      <c r="C89" s="1" t="s">
        <v>35</v>
      </c>
      <c r="D89" s="1" t="s">
        <v>36</v>
      </c>
      <c r="E89" s="1" t="s">
        <v>37</v>
      </c>
      <c r="H89">
        <f>0.9-0.08</f>
        <v>0.82000000000000006</v>
      </c>
    </row>
    <row r="90" spans="1:10" x14ac:dyDescent="0.25">
      <c r="A90" t="s">
        <v>31</v>
      </c>
      <c r="B90" s="27">
        <f>334.96*3</f>
        <v>1004.8799999999999</v>
      </c>
      <c r="C90" s="1">
        <f>49.3*6</f>
        <v>295.79999999999995</v>
      </c>
      <c r="D90" s="1">
        <f>8.7*5</f>
        <v>43.5</v>
      </c>
      <c r="E90" s="3">
        <f>15*4</f>
        <v>60</v>
      </c>
      <c r="F90" s="3">
        <f>SUM(B90:E90)</f>
        <v>1404.1799999999998</v>
      </c>
      <c r="H90">
        <f>0.9-0.08</f>
        <v>0.82000000000000006</v>
      </c>
    </row>
    <row r="91" spans="1:10" x14ac:dyDescent="0.25">
      <c r="A91" t="s">
        <v>32</v>
      </c>
      <c r="B91" s="1">
        <v>334.96</v>
      </c>
      <c r="F91" s="3">
        <f>B91</f>
        <v>334.96</v>
      </c>
      <c r="H91">
        <f>0.9-0.08</f>
        <v>0.82000000000000006</v>
      </c>
    </row>
    <row r="92" spans="1:10" x14ac:dyDescent="0.25">
      <c r="A92" t="s">
        <v>33</v>
      </c>
      <c r="B92" s="1">
        <f>H87</f>
        <v>325.93999999999988</v>
      </c>
      <c r="F92" s="19">
        <f>H87</f>
        <v>325.93999999999988</v>
      </c>
    </row>
    <row r="94" spans="1:10" x14ac:dyDescent="0.25">
      <c r="A94" t="s">
        <v>42</v>
      </c>
      <c r="B94" s="19">
        <f>(132*2.1*4)*2+(((2.25+2.25+2.25+2.25+4.25+3.55+3.55+4.25+4.25+4.25+2.975+4.25+4.25+4.25+3.985+2.975+3.55+3.55)*4)*2)</f>
        <v>2720.68</v>
      </c>
      <c r="C94" s="1">
        <f>(20*2.1*6)*2</f>
        <v>504</v>
      </c>
      <c r="D94" s="1">
        <f>(4*2.1*5)*2</f>
        <v>84</v>
      </c>
      <c r="E94" s="19">
        <f>((4.25+4.25+4.25+3.55+3.55+3.55)*4)*2</f>
        <v>187.20000000000002</v>
      </c>
      <c r="F94" s="19">
        <f>B94+C94+E94+D94</f>
        <v>3495.8799999999997</v>
      </c>
    </row>
    <row r="95" spans="1:10" x14ac:dyDescent="0.25">
      <c r="A95" t="s">
        <v>39</v>
      </c>
      <c r="C95" s="1">
        <f>R25</f>
        <v>500</v>
      </c>
      <c r="F95" s="19">
        <f>C95</f>
        <v>500</v>
      </c>
    </row>
    <row r="96" spans="1:10" x14ac:dyDescent="0.25">
      <c r="A96" t="s">
        <v>40</v>
      </c>
      <c r="D96" s="1">
        <f>ROUND((8.7/0.2),0)*2</f>
        <v>88</v>
      </c>
      <c r="F96" s="19">
        <f>D96</f>
        <v>88</v>
      </c>
    </row>
    <row r="97" spans="1:6" x14ac:dyDescent="0.25">
      <c r="A97" t="s">
        <v>41</v>
      </c>
      <c r="B97" s="19">
        <f>J87</f>
        <v>3400</v>
      </c>
      <c r="E97" s="19">
        <f>R11</f>
        <v>156</v>
      </c>
      <c r="F97" s="19">
        <f>B97+E97</f>
        <v>3556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D50D-B727-476D-8DD9-53429DE54A25}">
  <dimension ref="B2:W135"/>
  <sheetViews>
    <sheetView zoomScaleNormal="100" workbookViewId="0">
      <selection activeCell="N25" sqref="N25"/>
    </sheetView>
  </sheetViews>
  <sheetFormatPr defaultRowHeight="15" x14ac:dyDescent="0.25"/>
  <cols>
    <col min="1" max="1" width="3.28515625" customWidth="1"/>
  </cols>
  <sheetData>
    <row r="2" spans="2:23" x14ac:dyDescent="0.25">
      <c r="N2" s="45"/>
    </row>
    <row r="3" spans="2:23" x14ac:dyDescent="0.25">
      <c r="B3" t="s">
        <v>81</v>
      </c>
      <c r="C3" s="42">
        <f>6.6*76</f>
        <v>501.59999999999997</v>
      </c>
      <c r="D3" s="5"/>
      <c r="F3" t="s">
        <v>82</v>
      </c>
      <c r="G3">
        <v>4.25</v>
      </c>
      <c r="I3" t="s">
        <v>83</v>
      </c>
      <c r="J3">
        <f>7.5*6</f>
        <v>45</v>
      </c>
      <c r="L3" t="s">
        <v>84</v>
      </c>
      <c r="M3">
        <v>12.02</v>
      </c>
      <c r="N3" s="45"/>
      <c r="O3" t="s">
        <v>85</v>
      </c>
      <c r="P3">
        <v>1.0249999999999999</v>
      </c>
      <c r="R3" t="s">
        <v>86</v>
      </c>
      <c r="S3">
        <f>12*7.4</f>
        <v>88.800000000000011</v>
      </c>
      <c r="U3" t="s">
        <v>87</v>
      </c>
      <c r="V3">
        <f>334.96</f>
        <v>334.96</v>
      </c>
      <c r="W3">
        <f>V3*0.6*2</f>
        <v>401.95199999999994</v>
      </c>
    </row>
    <row r="4" spans="2:23" x14ac:dyDescent="0.25">
      <c r="C4" s="42">
        <f>(6.6*13)-(0.85+0.85+0.5+0.5)-(0.85+0.85+0.5+0.5)-(0.6+0.6)-(0.85+0.85+0.5+0.5)-0.6-(0.85+0.85+0.5+0.5)-(0.85+0.85+0.5+0.5)</f>
        <v>70.499999999999986</v>
      </c>
      <c r="D4" s="44"/>
      <c r="G4">
        <v>1.35</v>
      </c>
      <c r="M4" s="43">
        <f>M3*0.6</f>
        <v>7.2119999999999997</v>
      </c>
      <c r="N4" s="47"/>
      <c r="P4">
        <v>3.39</v>
      </c>
      <c r="Q4" s="45"/>
      <c r="S4" s="43">
        <f>S3*0.6</f>
        <v>53.280000000000008</v>
      </c>
      <c r="V4">
        <f>334.96-0.9-0.9-0.9</f>
        <v>332.26000000000005</v>
      </c>
      <c r="W4">
        <f>V4*0.2</f>
        <v>66.452000000000012</v>
      </c>
    </row>
    <row r="5" spans="2:23" x14ac:dyDescent="0.25">
      <c r="C5" s="42">
        <f>C3+C4</f>
        <v>572.09999999999991</v>
      </c>
      <c r="D5" s="43">
        <f>C5*0.6</f>
        <v>343.25999999999993</v>
      </c>
      <c r="J5">
        <f>3.15</f>
        <v>3.15</v>
      </c>
      <c r="N5" s="45"/>
      <c r="P5">
        <v>10.715</v>
      </c>
      <c r="Q5" s="45"/>
    </row>
    <row r="6" spans="2:23" x14ac:dyDescent="0.25">
      <c r="G6">
        <v>2.6</v>
      </c>
      <c r="J6">
        <v>3.35</v>
      </c>
      <c r="N6" s="45"/>
      <c r="P6" s="43">
        <f>SUM(P3:P5)*0.6</f>
        <v>9.0779999999999994</v>
      </c>
      <c r="Q6" s="44"/>
      <c r="W6" s="46">
        <f>SUM(W3:W5)</f>
        <v>468.40399999999994</v>
      </c>
    </row>
    <row r="7" spans="2:23" x14ac:dyDescent="0.25">
      <c r="C7">
        <f>6*2</f>
        <v>12</v>
      </c>
      <c r="G7">
        <v>0.83</v>
      </c>
      <c r="Q7" s="45"/>
    </row>
    <row r="8" spans="2:23" x14ac:dyDescent="0.25">
      <c r="G8">
        <v>1.32</v>
      </c>
      <c r="J8">
        <v>3.05</v>
      </c>
      <c r="Q8" s="45"/>
    </row>
    <row r="9" spans="2:23" x14ac:dyDescent="0.25">
      <c r="C9">
        <f>4.27*2</f>
        <v>8.5399999999999991</v>
      </c>
      <c r="J9">
        <v>3.45</v>
      </c>
      <c r="Q9" s="45"/>
      <c r="U9" t="s">
        <v>88</v>
      </c>
      <c r="V9">
        <v>49.3</v>
      </c>
      <c r="W9" s="43">
        <f>V9*0.6*2</f>
        <v>59.16</v>
      </c>
    </row>
    <row r="10" spans="2:23" x14ac:dyDescent="0.25">
      <c r="C10">
        <f>0.98*2</f>
        <v>1.96</v>
      </c>
      <c r="G10">
        <v>2.6</v>
      </c>
    </row>
    <row r="11" spans="2:23" x14ac:dyDescent="0.25">
      <c r="G11">
        <v>1.32</v>
      </c>
      <c r="J11">
        <f>7</f>
        <v>7</v>
      </c>
      <c r="U11" t="s">
        <v>89</v>
      </c>
      <c r="V11">
        <v>8.6999999999999993</v>
      </c>
      <c r="W11" s="43">
        <f>V11*0.6*2</f>
        <v>10.44</v>
      </c>
    </row>
    <row r="12" spans="2:23" x14ac:dyDescent="0.25">
      <c r="C12">
        <v>6</v>
      </c>
      <c r="G12">
        <v>0.83</v>
      </c>
    </row>
    <row r="13" spans="2:23" x14ac:dyDescent="0.25">
      <c r="J13">
        <f>1.525</f>
        <v>1.5249999999999999</v>
      </c>
      <c r="U13" t="s">
        <v>90</v>
      </c>
      <c r="V13">
        <v>15</v>
      </c>
      <c r="W13" s="43">
        <f>V13*0.6*2</f>
        <v>18</v>
      </c>
    </row>
    <row r="14" spans="2:23" x14ac:dyDescent="0.25">
      <c r="C14">
        <f>4.27*8</f>
        <v>34.159999999999997</v>
      </c>
      <c r="G14">
        <v>2.7</v>
      </c>
      <c r="J14">
        <v>4.9749999999999996</v>
      </c>
    </row>
    <row r="15" spans="2:23" x14ac:dyDescent="0.25">
      <c r="C15">
        <f>0.98*8</f>
        <v>7.84</v>
      </c>
      <c r="G15">
        <v>2.9</v>
      </c>
    </row>
    <row r="16" spans="2:23" x14ac:dyDescent="0.25">
      <c r="C16">
        <f>SUM(C7:C15)*0.6</f>
        <v>42.3</v>
      </c>
      <c r="J16">
        <v>3.05</v>
      </c>
    </row>
    <row r="17" spans="3:12" x14ac:dyDescent="0.25">
      <c r="C17">
        <f>C3*0.6</f>
        <v>300.95999999999998</v>
      </c>
      <c r="G17">
        <f>2.6*3</f>
        <v>7.8000000000000007</v>
      </c>
      <c r="J17">
        <v>3.45</v>
      </c>
    </row>
    <row r="18" spans="3:12" x14ac:dyDescent="0.25">
      <c r="C18">
        <f>C16+C17</f>
        <v>343.26</v>
      </c>
      <c r="G18">
        <f>3*3</f>
        <v>9</v>
      </c>
      <c r="J18" s="43">
        <f>SUM(J3:J17)*0.6</f>
        <v>46.8</v>
      </c>
      <c r="K18" s="44"/>
      <c r="L18" s="45"/>
    </row>
    <row r="19" spans="3:12" x14ac:dyDescent="0.25">
      <c r="K19" s="45"/>
      <c r="L19" s="45"/>
    </row>
    <row r="20" spans="3:12" x14ac:dyDescent="0.25">
      <c r="G20">
        <f>2.7*2</f>
        <v>5.4</v>
      </c>
      <c r="K20" s="45"/>
      <c r="L20" s="45"/>
    </row>
    <row r="21" spans="3:12" x14ac:dyDescent="0.25">
      <c r="G21">
        <f>2.9*2</f>
        <v>5.8</v>
      </c>
      <c r="K21" s="45"/>
      <c r="L21" s="45"/>
    </row>
    <row r="23" spans="3:12" x14ac:dyDescent="0.25">
      <c r="G23">
        <f>2.6*3</f>
        <v>7.8000000000000007</v>
      </c>
    </row>
    <row r="24" spans="3:12" x14ac:dyDescent="0.25">
      <c r="G24">
        <f>3*3</f>
        <v>9</v>
      </c>
    </row>
    <row r="26" spans="3:12" x14ac:dyDescent="0.25">
      <c r="G26">
        <v>2.7</v>
      </c>
    </row>
    <row r="27" spans="3:12" x14ac:dyDescent="0.25">
      <c r="G27">
        <v>2.9</v>
      </c>
    </row>
    <row r="29" spans="3:12" x14ac:dyDescent="0.25">
      <c r="G29">
        <v>4.45</v>
      </c>
    </row>
    <row r="30" spans="3:12" x14ac:dyDescent="0.25">
      <c r="G30">
        <v>1.1499999999999999</v>
      </c>
    </row>
    <row r="32" spans="3:12" x14ac:dyDescent="0.25">
      <c r="G32">
        <f>2.7*2</f>
        <v>5.4</v>
      </c>
    </row>
    <row r="33" spans="7:7" x14ac:dyDescent="0.25">
      <c r="G33">
        <f>2.9*2</f>
        <v>5.8</v>
      </c>
    </row>
    <row r="35" spans="7:7" x14ac:dyDescent="0.25">
      <c r="G35">
        <v>2.7</v>
      </c>
    </row>
    <row r="36" spans="7:7" x14ac:dyDescent="0.25">
      <c r="G36">
        <v>1.1000000000000001</v>
      </c>
    </row>
    <row r="37" spans="7:7" x14ac:dyDescent="0.25">
      <c r="G37">
        <v>1.2</v>
      </c>
    </row>
    <row r="39" spans="7:7" x14ac:dyDescent="0.25">
      <c r="G39">
        <v>6.1</v>
      </c>
    </row>
    <row r="41" spans="7:7" x14ac:dyDescent="0.25">
      <c r="G41">
        <v>4.42</v>
      </c>
    </row>
    <row r="42" spans="7:7" x14ac:dyDescent="0.25">
      <c r="G42">
        <v>0.83</v>
      </c>
    </row>
    <row r="44" spans="7:7" x14ac:dyDescent="0.25">
      <c r="G44">
        <v>2.6</v>
      </c>
    </row>
    <row r="45" spans="7:7" x14ac:dyDescent="0.25">
      <c r="G45">
        <v>1.32</v>
      </c>
    </row>
    <row r="46" spans="7:7" x14ac:dyDescent="0.25">
      <c r="G46">
        <v>0.83</v>
      </c>
    </row>
    <row r="48" spans="7:7" x14ac:dyDescent="0.25">
      <c r="G48">
        <f>2.6*4</f>
        <v>10.4</v>
      </c>
    </row>
    <row r="49" spans="7:7" x14ac:dyDescent="0.25">
      <c r="G49">
        <f>3*4</f>
        <v>12</v>
      </c>
    </row>
    <row r="51" spans="7:7" x14ac:dyDescent="0.25">
      <c r="G51">
        <v>2.6</v>
      </c>
    </row>
    <row r="52" spans="7:7" x14ac:dyDescent="0.25">
      <c r="G52">
        <v>1.32</v>
      </c>
    </row>
    <row r="53" spans="7:7" x14ac:dyDescent="0.25">
      <c r="G53">
        <v>0.83</v>
      </c>
    </row>
    <row r="55" spans="7:7" x14ac:dyDescent="0.25">
      <c r="G55">
        <v>2.6</v>
      </c>
    </row>
    <row r="56" spans="7:7" x14ac:dyDescent="0.25">
      <c r="G56">
        <v>1.32</v>
      </c>
    </row>
    <row r="57" spans="7:7" x14ac:dyDescent="0.25">
      <c r="G57">
        <v>0.83</v>
      </c>
    </row>
    <row r="59" spans="7:7" x14ac:dyDescent="0.25">
      <c r="G59">
        <v>2.6</v>
      </c>
    </row>
    <row r="60" spans="7:7" x14ac:dyDescent="0.25">
      <c r="G60">
        <v>3</v>
      </c>
    </row>
    <row r="62" spans="7:7" x14ac:dyDescent="0.25">
      <c r="G62">
        <v>4.25</v>
      </c>
    </row>
    <row r="63" spans="7:7" x14ac:dyDescent="0.25">
      <c r="G63">
        <v>1.35</v>
      </c>
    </row>
    <row r="65" spans="7:7" x14ac:dyDescent="0.25">
      <c r="G65">
        <f>2.6*10</f>
        <v>26</v>
      </c>
    </row>
    <row r="66" spans="7:7" x14ac:dyDescent="0.25">
      <c r="G66">
        <f>3*10</f>
        <v>30</v>
      </c>
    </row>
    <row r="68" spans="7:7" x14ac:dyDescent="0.25">
      <c r="G68">
        <v>1.32</v>
      </c>
    </row>
    <row r="69" spans="7:7" x14ac:dyDescent="0.25">
      <c r="G69">
        <v>2.6</v>
      </c>
    </row>
    <row r="70" spans="7:7" x14ac:dyDescent="0.25">
      <c r="G70">
        <v>0.83</v>
      </c>
    </row>
    <row r="72" spans="7:7" x14ac:dyDescent="0.25">
      <c r="G72">
        <v>0.83</v>
      </c>
    </row>
    <row r="73" spans="7:7" x14ac:dyDescent="0.25">
      <c r="G73">
        <v>1.32</v>
      </c>
    </row>
    <row r="74" spans="7:7" x14ac:dyDescent="0.25">
      <c r="G74">
        <v>2.6</v>
      </c>
    </row>
    <row r="76" spans="7:7" x14ac:dyDescent="0.25">
      <c r="G76">
        <v>4.25</v>
      </c>
    </row>
    <row r="77" spans="7:7" x14ac:dyDescent="0.25">
      <c r="G77">
        <v>1.35</v>
      </c>
    </row>
    <row r="79" spans="7:7" x14ac:dyDescent="0.25">
      <c r="G79">
        <f>3*3</f>
        <v>9</v>
      </c>
    </row>
    <row r="80" spans="7:7" x14ac:dyDescent="0.25">
      <c r="G80">
        <f>2.6*3</f>
        <v>7.8000000000000007</v>
      </c>
    </row>
    <row r="82" spans="7:7" x14ac:dyDescent="0.25">
      <c r="G82">
        <v>4.25</v>
      </c>
    </row>
    <row r="83" spans="7:7" x14ac:dyDescent="0.25">
      <c r="G83">
        <v>1.35</v>
      </c>
    </row>
    <row r="85" spans="7:7" x14ac:dyDescent="0.25">
      <c r="G85">
        <f>2.6*4</f>
        <v>10.4</v>
      </c>
    </row>
    <row r="86" spans="7:7" x14ac:dyDescent="0.25">
      <c r="G86">
        <f>3*4</f>
        <v>12</v>
      </c>
    </row>
    <row r="88" spans="7:7" x14ac:dyDescent="0.25">
      <c r="G88">
        <v>1.35</v>
      </c>
    </row>
    <row r="89" spans="7:7" x14ac:dyDescent="0.25">
      <c r="G89">
        <v>4.25</v>
      </c>
    </row>
    <row r="91" spans="7:7" x14ac:dyDescent="0.25">
      <c r="G91">
        <f>3*6</f>
        <v>18</v>
      </c>
    </row>
    <row r="92" spans="7:7" x14ac:dyDescent="0.25">
      <c r="G92">
        <f>2.6*6</f>
        <v>15.600000000000001</v>
      </c>
    </row>
    <row r="94" spans="7:7" x14ac:dyDescent="0.25">
      <c r="G94">
        <f>4.25*2</f>
        <v>8.5</v>
      </c>
    </row>
    <row r="95" spans="7:7" x14ac:dyDescent="0.25">
      <c r="G95">
        <f>1.35*2</f>
        <v>2.7</v>
      </c>
    </row>
    <row r="97" spans="7:7" x14ac:dyDescent="0.25">
      <c r="G97">
        <f>2.6*3</f>
        <v>7.8000000000000007</v>
      </c>
    </row>
    <row r="98" spans="7:7" x14ac:dyDescent="0.25">
      <c r="G98">
        <f>3*3</f>
        <v>9</v>
      </c>
    </row>
    <row r="100" spans="7:7" x14ac:dyDescent="0.25">
      <c r="G100">
        <f>2.6*5</f>
        <v>13</v>
      </c>
    </row>
    <row r="101" spans="7:7" x14ac:dyDescent="0.25">
      <c r="G101">
        <f>3*5</f>
        <v>15</v>
      </c>
    </row>
    <row r="103" spans="7:7" x14ac:dyDescent="0.25">
      <c r="G103">
        <v>3.9750000000000001</v>
      </c>
    </row>
    <row r="104" spans="7:7" x14ac:dyDescent="0.25">
      <c r="G104">
        <v>1.625</v>
      </c>
    </row>
    <row r="106" spans="7:7" x14ac:dyDescent="0.25">
      <c r="G106">
        <f>3*4</f>
        <v>12</v>
      </c>
    </row>
    <row r="107" spans="7:7" x14ac:dyDescent="0.25">
      <c r="G107">
        <f>2.6*4</f>
        <v>10.4</v>
      </c>
    </row>
    <row r="109" spans="7:7" x14ac:dyDescent="0.25">
      <c r="G109">
        <v>0.83</v>
      </c>
    </row>
    <row r="110" spans="7:7" x14ac:dyDescent="0.25">
      <c r="G110">
        <v>2.6</v>
      </c>
    </row>
    <row r="111" spans="7:7" x14ac:dyDescent="0.25">
      <c r="G111">
        <v>1.32</v>
      </c>
    </row>
    <row r="113" spans="6:8" x14ac:dyDescent="0.25">
      <c r="G113">
        <v>4.42</v>
      </c>
    </row>
    <row r="114" spans="6:8" x14ac:dyDescent="0.25">
      <c r="G114">
        <v>0.83</v>
      </c>
    </row>
    <row r="116" spans="6:8" x14ac:dyDescent="0.25">
      <c r="G116">
        <v>6.1</v>
      </c>
    </row>
    <row r="118" spans="6:8" x14ac:dyDescent="0.25">
      <c r="G118">
        <f>2.9*4</f>
        <v>11.6</v>
      </c>
    </row>
    <row r="119" spans="6:8" x14ac:dyDescent="0.25">
      <c r="G119">
        <f>2.7*4</f>
        <v>10.8</v>
      </c>
    </row>
    <row r="121" spans="6:8" x14ac:dyDescent="0.25">
      <c r="G121">
        <v>2.9</v>
      </c>
    </row>
    <row r="122" spans="6:8" x14ac:dyDescent="0.25">
      <c r="G122">
        <v>2.7</v>
      </c>
    </row>
    <row r="123" spans="6:8" x14ac:dyDescent="0.25">
      <c r="G123">
        <f>SUM(G3:G122)</f>
        <v>435.30000000000007</v>
      </c>
      <c r="H123" s="43">
        <f>G123*0.6</f>
        <v>261.18</v>
      </c>
    </row>
    <row r="125" spans="6:8" x14ac:dyDescent="0.25">
      <c r="G125">
        <f>(6.6*79)-(154*0.5)-(10*0.85)-(1*0.6)</f>
        <v>435.29999999999995</v>
      </c>
      <c r="H125">
        <f>G125*0.6</f>
        <v>261.17999999999995</v>
      </c>
    </row>
    <row r="126" spans="6:8" x14ac:dyDescent="0.25">
      <c r="F126" s="45"/>
      <c r="G126" s="45"/>
      <c r="H126" s="45"/>
    </row>
    <row r="127" spans="6:8" x14ac:dyDescent="0.25">
      <c r="F127" s="45"/>
      <c r="G127" s="45"/>
      <c r="H127" s="45"/>
    </row>
    <row r="128" spans="6:8" x14ac:dyDescent="0.25">
      <c r="F128" s="45"/>
      <c r="G128" s="45"/>
      <c r="H128" s="45"/>
    </row>
    <row r="129" spans="2:12" x14ac:dyDescent="0.25">
      <c r="F129" s="45"/>
      <c r="G129" s="44"/>
      <c r="H129" s="44"/>
    </row>
    <row r="130" spans="2:12" x14ac:dyDescent="0.25">
      <c r="B130" s="1" t="str">
        <f>B3</f>
        <v>Рм1</v>
      </c>
      <c r="C130" s="1" t="str">
        <f>F3</f>
        <v>Рм2</v>
      </c>
      <c r="D130" s="1" t="str">
        <f>I3</f>
        <v>Рм3</v>
      </c>
      <c r="E130" s="1" t="str">
        <f>L3</f>
        <v>Рм4</v>
      </c>
      <c r="F130" s="26" t="str">
        <f>O3</f>
        <v>Рм5</v>
      </c>
      <c r="G130" s="48" t="str">
        <f>R3</f>
        <v>Рм6</v>
      </c>
      <c r="H130" s="48" t="str">
        <f>U3</f>
        <v>Рлм-1</v>
      </c>
      <c r="I130" s="1" t="str">
        <f>U9</f>
        <v>Рлм-2</v>
      </c>
      <c r="J130" s="1" t="str">
        <f>U11</f>
        <v>Рлм-3</v>
      </c>
      <c r="K130" s="1" t="str">
        <f>U13</f>
        <v>Рлм-4</v>
      </c>
    </row>
    <row r="131" spans="2:12" x14ac:dyDescent="0.25">
      <c r="B131" s="1">
        <f>D5</f>
        <v>343.25999999999993</v>
      </c>
      <c r="C131" s="1">
        <f>H123</f>
        <v>261.18</v>
      </c>
      <c r="D131" s="1">
        <f>J18</f>
        <v>46.8</v>
      </c>
      <c r="E131" s="1">
        <f>M4</f>
        <v>7.2119999999999997</v>
      </c>
      <c r="F131" s="26">
        <f>P6</f>
        <v>9.0779999999999994</v>
      </c>
      <c r="G131" s="26">
        <f>S4</f>
        <v>53.280000000000008</v>
      </c>
      <c r="H131" s="49">
        <f>W6</f>
        <v>468.40399999999994</v>
      </c>
      <c r="I131" s="1">
        <f>W9</f>
        <v>59.16</v>
      </c>
      <c r="J131" s="1">
        <f>W11</f>
        <v>10.44</v>
      </c>
      <c r="K131" s="1">
        <f>W13</f>
        <v>18</v>
      </c>
      <c r="L131" s="2">
        <f>SUM(B131:K131)</f>
        <v>1276.8139999999999</v>
      </c>
    </row>
    <row r="132" spans="2:12" x14ac:dyDescent="0.25">
      <c r="F132" s="45"/>
      <c r="G132" s="45"/>
      <c r="H132" s="45"/>
    </row>
    <row r="133" spans="2:12" x14ac:dyDescent="0.25">
      <c r="F133" s="45"/>
      <c r="G133" s="45"/>
      <c r="H133" s="45"/>
    </row>
    <row r="134" spans="2:12" x14ac:dyDescent="0.25">
      <c r="F134" s="45"/>
      <c r="G134" s="45"/>
      <c r="H134" s="45"/>
    </row>
    <row r="135" spans="2:12" x14ac:dyDescent="0.25">
      <c r="F135" s="45"/>
      <c r="G135" s="44"/>
      <c r="H135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ВОР</vt:lpstr>
      <vt:lpstr>Бетон</vt:lpstr>
      <vt:lpstr>Бетонная подготовка</vt:lpstr>
      <vt:lpstr>Каркасы</vt:lpstr>
      <vt:lpstr>Гидроизоляция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Комаровская Елена Андреевна</dc:creator>
  <cp:lastModifiedBy>Сидорова Елена Андреевна</cp:lastModifiedBy>
  <dcterms:created xsi:type="dcterms:W3CDTF">2015-06-05T18:19:34Z</dcterms:created>
  <dcterms:modified xsi:type="dcterms:W3CDTF">2025-12-01T09:33:53Z</dcterms:modified>
</cp:coreProperties>
</file>