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Отдел подготовки производства\Нестерова А.Е\Школа НСО Сотникова\ВОР\"/>
    </mc:Choice>
  </mc:AlternateContent>
  <xr:revisionPtr revIDLastSave="0" documentId="13_ncr:1_{FBA23B74-273A-4F5F-A658-44BB3E7BA8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7" i="1"/>
  <c r="R37" i="1" s="1"/>
  <c r="L42" i="1"/>
  <c r="K39" i="1"/>
  <c r="K40" i="1" s="1"/>
  <c r="K42" i="1" s="1"/>
  <c r="K38" i="1"/>
  <c r="J39" i="1"/>
  <c r="J40" i="1" s="1"/>
  <c r="J42" i="1" s="1"/>
  <c r="J38" i="1"/>
  <c r="D39" i="1"/>
  <c r="D38" i="1"/>
  <c r="R38" i="1" s="1"/>
  <c r="P38" i="1"/>
  <c r="O38" i="1"/>
  <c r="N38" i="1"/>
  <c r="M38" i="1"/>
  <c r="M32" i="1" l="1"/>
  <c r="N32" i="1"/>
  <c r="I26" i="1"/>
  <c r="J26" i="1" s="1"/>
  <c r="I32" i="1"/>
  <c r="J32" i="1" s="1"/>
  <c r="K32" i="1"/>
  <c r="L32" i="1"/>
  <c r="D33" i="1"/>
  <c r="D27" i="1"/>
  <c r="K26" i="1"/>
  <c r="M26" i="1" l="1"/>
  <c r="N26" i="1" s="1"/>
  <c r="L26" i="1"/>
  <c r="K20" i="1"/>
  <c r="M20" i="1"/>
  <c r="N20" i="1" s="1"/>
  <c r="L20" i="1"/>
  <c r="I20" i="1"/>
  <c r="J20" i="1" s="1"/>
  <c r="D21" i="1"/>
  <c r="D23" i="1" s="1"/>
  <c r="F23" i="1" s="1"/>
  <c r="D15" i="1"/>
  <c r="D16" i="1" s="1"/>
  <c r="F16" i="1" s="1"/>
  <c r="K14" i="1"/>
  <c r="L14" i="1" s="1"/>
  <c r="I14" i="1"/>
  <c r="J14" i="1" s="1"/>
  <c r="K8" i="1"/>
  <c r="L8" i="1" s="1"/>
  <c r="I8" i="1"/>
  <c r="J8" i="1" s="1"/>
  <c r="D35" i="1"/>
  <c r="F35" i="1" s="1"/>
  <c r="F32" i="1"/>
  <c r="R32" i="1" s="1"/>
  <c r="F31" i="1"/>
  <c r="R31" i="1" s="1"/>
  <c r="F24" i="2"/>
  <c r="D40" i="1"/>
  <c r="D28" i="1"/>
  <c r="F28" i="1" s="1"/>
  <c r="B27" i="2"/>
  <c r="B26" i="2"/>
  <c r="D9" i="1"/>
  <c r="D11" i="1" s="1"/>
  <c r="F11" i="1" s="1"/>
  <c r="F33" i="1" l="1"/>
  <c r="D34" i="1"/>
  <c r="F34" i="1" s="1"/>
  <c r="D42" i="1"/>
  <c r="D22" i="1"/>
  <c r="F22" i="1" s="1"/>
  <c r="D29" i="1"/>
  <c r="F29" i="1" s="1"/>
  <c r="F27" i="1"/>
  <c r="F21" i="1"/>
  <c r="D17" i="1"/>
  <c r="F17" i="1" s="1"/>
  <c r="F15" i="1"/>
  <c r="F9" i="1"/>
  <c r="D10" i="1"/>
  <c r="F10" i="1" s="1"/>
  <c r="D23" i="2"/>
  <c r="F23" i="2" s="1"/>
  <c r="D22" i="2"/>
  <c r="F22" i="2" s="1"/>
  <c r="D21" i="2"/>
  <c r="F21" i="2" s="1"/>
  <c r="D20" i="2"/>
  <c r="F20" i="2" s="1"/>
  <c r="D17" i="2"/>
  <c r="F17" i="2" s="1"/>
  <c r="D16" i="2"/>
  <c r="F16" i="2" s="1"/>
  <c r="D15" i="2"/>
  <c r="F15" i="2" s="1"/>
  <c r="D14" i="2"/>
  <c r="F14" i="2" s="1"/>
  <c r="F11" i="2"/>
  <c r="D11" i="2"/>
  <c r="D10" i="2"/>
  <c r="F10" i="2" s="1"/>
  <c r="D9" i="2"/>
  <c r="F9" i="2" s="1"/>
  <c r="D8" i="2"/>
  <c r="F8" i="2" s="1"/>
  <c r="F26" i="1"/>
  <c r="R26" i="1" s="1"/>
  <c r="F25" i="1"/>
  <c r="R25" i="1" s="1"/>
  <c r="F20" i="1"/>
  <c r="R20" i="1" s="1"/>
  <c r="F19" i="1"/>
  <c r="R19" i="1" s="1"/>
  <c r="F14" i="1"/>
  <c r="R14" i="1" s="1"/>
  <c r="F13" i="1"/>
  <c r="R13" i="1" s="1"/>
  <c r="F5" i="2"/>
  <c r="F4" i="2"/>
  <c r="F3" i="2"/>
  <c r="D5" i="2"/>
  <c r="C4" i="2"/>
  <c r="D4" i="2" s="1"/>
  <c r="D3" i="2"/>
  <c r="C3" i="2"/>
  <c r="F8" i="1"/>
  <c r="F7" i="1"/>
  <c r="R6" i="1" s="1"/>
  <c r="R43" i="1" l="1"/>
  <c r="N7" i="1"/>
  <c r="R7" i="1"/>
  <c r="R44" i="1" s="1"/>
</calcChain>
</file>

<file path=xl/sharedStrings.xml><?xml version="1.0" encoding="utf-8"?>
<sst xmlns="http://schemas.openxmlformats.org/spreadsheetml/2006/main" count="181" uniqueCount="106">
  <si>
    <t>Объект: НСО Школа на ул. Сотникова</t>
  </si>
  <si>
    <t>№ п/п</t>
  </si>
  <si>
    <t>Наименование работы</t>
  </si>
  <si>
    <t>Ед. изм</t>
  </si>
  <si>
    <t>Примечение</t>
  </si>
  <si>
    <t>1.1.</t>
  </si>
  <si>
    <t>м3</t>
  </si>
  <si>
    <t>1.2.</t>
  </si>
  <si>
    <t>1.3.</t>
  </si>
  <si>
    <t>1.4.</t>
  </si>
  <si>
    <t>1.5.</t>
  </si>
  <si>
    <t>Ростверки</t>
  </si>
  <si>
    <t>Устройство бетонной подготовки</t>
  </si>
  <si>
    <t>Устройство монолитного железобетонного отдельно стоящего плитного росверка</t>
  </si>
  <si>
    <t>Бетон В7,5</t>
  </si>
  <si>
    <t>ПРЕДВАРИТЕЛЬНО! ДО УТВЕРЖДЕНИЯ ПРОЕКТНОЙ ДОКУМЕНТАЦИИ!</t>
  </si>
  <si>
    <t>Объём, итого</t>
  </si>
  <si>
    <t>Объем на один ростверк</t>
  </si>
  <si>
    <t>Кр1 (12А500С)</t>
  </si>
  <si>
    <t xml:space="preserve">Наименование </t>
  </si>
  <si>
    <t>кол-во на один ростверк</t>
  </si>
  <si>
    <t>вес за шт</t>
  </si>
  <si>
    <t>Кр2 (12А500С)</t>
  </si>
  <si>
    <t>арматура 12 А500С</t>
  </si>
  <si>
    <t>РМ1</t>
  </si>
  <si>
    <t>вес на один ростверк</t>
  </si>
  <si>
    <t>Рм-4 -1шт</t>
  </si>
  <si>
    <t>всего росверков</t>
  </si>
  <si>
    <t>ИТОГО</t>
  </si>
  <si>
    <t>РМ2</t>
  </si>
  <si>
    <t>РМ3</t>
  </si>
  <si>
    <t>РМ4</t>
  </si>
  <si>
    <t>Кол-во</t>
  </si>
  <si>
    <t>Гидроизоляция боковая обмазочная битумная в 2 слоя</t>
  </si>
  <si>
    <t>Праймер битумный ТехноНиколь №01 (расход = 0,25 л/м2)
Мастика гидроизоляционная  ТехноНиколь №24 (расход = 2,4 кг/м2)</t>
  </si>
  <si>
    <t>м2</t>
  </si>
  <si>
    <t>РЛм1</t>
  </si>
  <si>
    <t>арматура 16 А500С</t>
  </si>
  <si>
    <t>арматура 10А500С</t>
  </si>
  <si>
    <t>Рм-1 -88шт</t>
  </si>
  <si>
    <t>Рм-2 -92шт</t>
  </si>
  <si>
    <t>Рм-3 -11шт</t>
  </si>
  <si>
    <t>Рм-5 -1шт</t>
  </si>
  <si>
    <t>РЛм-1 (335 пог.м.), РЛм-2(49,3 пог.м.), РЛм-3(8,7 пог.м.), РЛм-4 (15 пог.м.)</t>
  </si>
  <si>
    <t>кр1</t>
  </si>
  <si>
    <t>С1</t>
  </si>
  <si>
    <t>Монтаж опалубки монолитных железобетонных конструкций</t>
  </si>
  <si>
    <t>Демонтаж опалубки монолитных железобетонных конструкций</t>
  </si>
  <si>
    <t>2.1.</t>
  </si>
  <si>
    <t>2.2.</t>
  </si>
  <si>
    <t>2.3.</t>
  </si>
  <si>
    <t>2.4.</t>
  </si>
  <si>
    <t>2.5.</t>
  </si>
  <si>
    <t xml:space="preserve">Демонтаж опалубки монолитных железобетонных конструкций </t>
  </si>
  <si>
    <t>С2</t>
  </si>
  <si>
    <t>Бетон В25 F150 W6 
Каркас Кр1  (12А500С)- 6,784 кг/шт- 4 шт на один ростверк, всего 27,137 кг
Сетка С1  (14 А500С)- 34,138 кг/шт- 2 шт на один ростверк , всего 68,276 кг</t>
  </si>
  <si>
    <t>Бетон В25 F150 W6
Каркас Кр1  (12А500С)- 6,784 кг/шт- 4 шт на один ростверк, всего 27,137 кг
Сетка С2  (14 А500С)- 41,724 кг/шт- 2 шт на один ростверк , всего 83,449 кг</t>
  </si>
  <si>
    <t xml:space="preserve">Монтаж опалубки монолитных железобетонных конструкций </t>
  </si>
  <si>
    <t>кр2</t>
  </si>
  <si>
    <t>С3</t>
  </si>
  <si>
    <t>Бетон В25 F150 W6
Каркас Кр1  (12А500С)- 6,784 кг/шт- 2 шт на один ростверк, всего 13,569 кг
Каркас Кр2  (12А500С)- 8,472 кг/шт- 2 шт на один ростверк, всего 16,943 кг
Сетка С3  (14 А500С)- 42,824 кг/шт- 2 шт на один ростверк , всего 85,647 кг</t>
  </si>
  <si>
    <t>кр3</t>
  </si>
  <si>
    <t>кр4</t>
  </si>
  <si>
    <t>С4</t>
  </si>
  <si>
    <t>кр5</t>
  </si>
  <si>
    <t>кр6</t>
  </si>
  <si>
    <t>Бетон В25 F150 W6
Каркас Кр3  (12А500С)-  10,123 кг/шт- 6 шт на один ростверк, всего 60,739 кг
Каркас Кр4  (12А500С)- 14,030 кг/шт- 2 шт на один ростверк, всего 28,061 кг
Сетка С4  (14 А500С)- 106,666 кг/шт- 2 шт на один ростверк , всего 213,333 кг</t>
  </si>
  <si>
    <t>Бетон В25 F150 W6
Каркас Кр1  (12А500С)-13,471 кг/шт- 9 шт на один ростверк, всего 121,239 кг
Каркас Кр1 (12А500С)-19,660 кг/шт- 2 шт на один ростверк , всего 39,321 кг
Арматура 14 А500С -5,823 кг/шт L=4820 мм -38 шт на один ростверк , всего 221,274 кг
Арматура 14 А500С - 4,029 кг/шт L=3335 мм -52 шт на один ростверк , всего 209,508 кг</t>
  </si>
  <si>
    <t>кр7</t>
  </si>
  <si>
    <t>кр8</t>
  </si>
  <si>
    <t>кр9</t>
  </si>
  <si>
    <t>10 L=790</t>
  </si>
  <si>
    <t>10 L=540</t>
  </si>
  <si>
    <t>10 L=440</t>
  </si>
  <si>
    <t>Устройство монолитного железобетонного ленточного росверка с шириной по верху до 1000мм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</si>
  <si>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</si>
  <si>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</si>
  <si>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</si>
  <si>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</si>
  <si>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</si>
  <si>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</si>
  <si>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</si>
  <si>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</si>
  <si>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</si>
  <si>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</si>
  <si>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</si>
  <si>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</si>
  <si>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</si>
  <si>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</si>
  <si>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</si>
  <si>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</si>
  <si>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</si>
  <si>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</si>
  <si>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</si>
  <si>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</si>
  <si>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Бетон, итого</t>
  </si>
  <si>
    <t>Бетон В25 F150 W6</t>
  </si>
  <si>
    <t>16А500С</t>
  </si>
  <si>
    <t>10А500С</t>
  </si>
  <si>
    <t>8А240</t>
  </si>
  <si>
    <t>Бетон В25 F150 W6
Каркас Кр7 арматура 16 А500С- 0,003т , арматура 10А500С-0,002т- всего  1544,6 м.пог.-7,305 т
Каркас Кр8 арматура 16 А500С- 0,003т , арматура 10А500С-0,002т- всего  368,5 м.пог.-1,970 т
Каркас Кр9 арматура 8 А240 всего 356,1 м.пог.-0,913 т
Арматура 16 А500С, всего 6,069 т
Арматура 10 А500С L= 790 м , всего 0,244 т
Арматура 10 А500С L= 540 м , всего 0,029 т
Арматура 10 А500С L= 440 м , всего 0,967 т</t>
  </si>
  <si>
    <t>Ведомость объемов работ № 3.1 от 17.10.2025</t>
  </si>
  <si>
    <t>6.6.</t>
  </si>
  <si>
    <t>Установка монтажных изделий до 4 кг</t>
  </si>
  <si>
    <t>т</t>
  </si>
  <si>
    <t>Изделие закладное МН2.7 - 48 шт ( 2,1кг/шт)
Изделие закладное МН2.15 - 6 шт ( 1,38кг/шт)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</si>
</sst>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4"/>
      <color rgb="FF666699"/>
      <name val="Times New Roman"/>
      <family val="1"/>
      <charset val="204"/>
    </font>
    <font>
      <sz val="8"/>
      <name val="Calibri"/>
      <family val="2"/>
      <scheme val="minor"/>
    </font>
    <font>
      <b/>
      <i/>
      <sz val="2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666699"/>
      <name val="Calibri"/>
      <family val="2"/>
      <scheme val="minor"/>
    </font>
    <font>
      <sz val="11"/>
      <color rgb="FFFF9999"/>
      <name val="Calibri"/>
      <family val="2"/>
      <scheme val="minor"/>
    </font>
    <font>
      <b/>
      <i/>
      <u/>
      <sz val="11"/>
      <color rgb="FF66669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6" fillId="5" borderId="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4" fontId="11" fillId="0" borderId="0" xfId="0" applyNumberFormat="1" applyFont="1"/>
    <xf numFmtId="164" fontId="12" fillId="0" borderId="0" xfId="0" applyNumberFormat="1" applyFont="1"/>
    <xf numFmtId="164" fontId="2" fillId="6" borderId="0" xfId="0" applyNumberFormat="1" applyFont="1" applyFill="1"/>
    <xf numFmtId="164" fontId="2" fillId="7" borderId="0" xfId="0" applyNumberFormat="1" applyFont="1" applyFill="1"/>
    <xf numFmtId="0" fontId="13" fillId="0" borderId="0" xfId="0" applyFont="1"/>
    <xf numFmtId="0" fontId="0" fillId="0" borderId="0" xfId="0" applyAlignment="1">
      <alignment horizont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3" borderId="1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2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CCCC"/>
      <color rgb="FF66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34" zoomScaleNormal="100" workbookViewId="0">
      <selection activeCell="D41" sqref="D41:F41"/>
    </sheetView>
  </sheetViews>
  <sheetFormatPr defaultRowHeight="15" x14ac:dyDescent="0.25"/>
  <cols>
    <col min="1" max="1" width="16.7109375" customWidth="1"/>
    <col min="2" max="2" width="52.140625" customWidth="1"/>
    <col min="3" max="3" width="25.28515625" customWidth="1"/>
    <col min="4" max="5" width="20.5703125" customWidth="1"/>
    <col min="6" max="6" width="20.42578125" customWidth="1"/>
    <col min="7" max="7" width="93.85546875" customWidth="1"/>
    <col min="16" max="16" width="10.42578125" customWidth="1"/>
    <col min="17" max="17" width="18.42578125" customWidth="1"/>
    <col min="18" max="18" width="15.5703125" customWidth="1"/>
  </cols>
  <sheetData>
    <row r="1" spans="1:18" ht="27" thickBot="1" x14ac:dyDescent="0.3">
      <c r="A1" s="39" t="s">
        <v>15</v>
      </c>
      <c r="B1" s="39"/>
      <c r="C1" s="39"/>
      <c r="D1" s="39"/>
      <c r="E1" s="39"/>
      <c r="F1" s="39"/>
      <c r="G1" s="39"/>
    </row>
    <row r="2" spans="1:18" ht="15.75" x14ac:dyDescent="0.25">
      <c r="A2" s="30" t="s">
        <v>101</v>
      </c>
      <c r="B2" s="31"/>
      <c r="C2" s="31"/>
      <c r="D2" s="31"/>
      <c r="E2" s="31"/>
      <c r="F2" s="31"/>
      <c r="G2" s="32"/>
    </row>
    <row r="3" spans="1:18" ht="15.75" x14ac:dyDescent="0.25">
      <c r="A3" s="33" t="s">
        <v>0</v>
      </c>
      <c r="B3" s="34"/>
      <c r="C3" s="34"/>
      <c r="D3" s="34"/>
      <c r="E3" s="34"/>
      <c r="F3" s="34"/>
      <c r="G3" s="35"/>
    </row>
    <row r="4" spans="1:18" ht="31.5" x14ac:dyDescent="0.25">
      <c r="A4" s="10" t="s">
        <v>1</v>
      </c>
      <c r="B4" s="2" t="s">
        <v>2</v>
      </c>
      <c r="C4" s="1" t="s">
        <v>3</v>
      </c>
      <c r="D4" s="3" t="s">
        <v>17</v>
      </c>
      <c r="E4" s="3" t="s">
        <v>32</v>
      </c>
      <c r="F4" s="3" t="s">
        <v>16</v>
      </c>
      <c r="G4" s="11" t="s">
        <v>4</v>
      </c>
    </row>
    <row r="5" spans="1:18" ht="15.75" x14ac:dyDescent="0.25">
      <c r="A5" s="36" t="s">
        <v>11</v>
      </c>
      <c r="B5" s="37"/>
      <c r="C5" s="37"/>
      <c r="D5" s="37"/>
      <c r="E5" s="37"/>
      <c r="F5" s="37"/>
      <c r="G5" s="38"/>
      <c r="H5" s="7"/>
      <c r="R5" s="18" t="s">
        <v>95</v>
      </c>
    </row>
    <row r="6" spans="1:18" ht="19.5" x14ac:dyDescent="0.25">
      <c r="A6" s="23" t="s">
        <v>39</v>
      </c>
      <c r="B6" s="24"/>
      <c r="C6" s="24"/>
      <c r="D6" s="24"/>
      <c r="E6" s="24"/>
      <c r="F6" s="24"/>
      <c r="G6" s="25"/>
      <c r="H6" s="6"/>
      <c r="R6" s="14">
        <f>F7</f>
        <v>30.096000000000004</v>
      </c>
    </row>
    <row r="7" spans="1:18" ht="27" customHeight="1" x14ac:dyDescent="0.25">
      <c r="A7" s="12" t="s">
        <v>5</v>
      </c>
      <c r="B7" s="4" t="s">
        <v>12</v>
      </c>
      <c r="C7" s="5" t="s">
        <v>6</v>
      </c>
      <c r="D7" s="9">
        <v>0.34200000000000003</v>
      </c>
      <c r="E7" s="20">
        <v>88</v>
      </c>
      <c r="F7" s="9">
        <f>D7*E7</f>
        <v>30.096000000000004</v>
      </c>
      <c r="G7" s="13" t="s">
        <v>14</v>
      </c>
      <c r="H7" s="6"/>
      <c r="I7" s="19" t="s">
        <v>44</v>
      </c>
      <c r="J7" s="19"/>
      <c r="K7" t="s">
        <v>45</v>
      </c>
      <c r="N7" s="8">
        <f>F8+F14+F20+F26+F32+D38</f>
        <v>503.11900000000003</v>
      </c>
      <c r="R7" s="15">
        <f>F8</f>
        <v>143.792</v>
      </c>
    </row>
    <row r="8" spans="1:18" ht="71.25" customHeight="1" x14ac:dyDescent="0.25">
      <c r="A8" s="12" t="s">
        <v>7</v>
      </c>
      <c r="B8" s="4" t="s">
        <v>13</v>
      </c>
      <c r="C8" s="5" t="s">
        <v>6</v>
      </c>
      <c r="D8" s="9">
        <v>1.6339999999999999</v>
      </c>
      <c r="E8" s="21"/>
      <c r="F8" s="9">
        <f>D8*E7</f>
        <v>143.792</v>
      </c>
      <c r="G8" s="13" t="s">
        <v>55</v>
      </c>
      <c r="I8" s="8">
        <f>(1.57*2+0.5*9)*0.888</f>
        <v>6.784320000000001</v>
      </c>
      <c r="J8">
        <f>I8*4</f>
        <v>27.137280000000004</v>
      </c>
      <c r="K8">
        <f>1.57*18*1.208</f>
        <v>34.138080000000002</v>
      </c>
      <c r="L8">
        <f>K8*2</f>
        <v>68.276160000000004</v>
      </c>
    </row>
    <row r="9" spans="1:18" ht="71.25" customHeight="1" x14ac:dyDescent="0.25">
      <c r="A9" s="12" t="s">
        <v>8</v>
      </c>
      <c r="B9" s="4" t="s">
        <v>46</v>
      </c>
      <c r="C9" s="5" t="s">
        <v>35</v>
      </c>
      <c r="D9" s="9">
        <f>(1.65*0.6)*4</f>
        <v>3.9599999999999995</v>
      </c>
      <c r="E9" s="21"/>
      <c r="F9" s="9">
        <f>D9*E7</f>
        <v>348.47999999999996</v>
      </c>
      <c r="G9" s="13"/>
    </row>
    <row r="10" spans="1:18" ht="71.25" customHeight="1" x14ac:dyDescent="0.25">
      <c r="A10" s="12" t="s">
        <v>9</v>
      </c>
      <c r="B10" s="4" t="s">
        <v>47</v>
      </c>
      <c r="C10" s="5" t="s">
        <v>35</v>
      </c>
      <c r="D10" s="9">
        <f>D9</f>
        <v>3.9599999999999995</v>
      </c>
      <c r="E10" s="21"/>
      <c r="F10" s="9">
        <f>D10*E7</f>
        <v>348.47999999999996</v>
      </c>
      <c r="G10" s="13"/>
    </row>
    <row r="11" spans="1:18" ht="71.25" customHeight="1" x14ac:dyDescent="0.25">
      <c r="A11" s="12" t="s">
        <v>10</v>
      </c>
      <c r="B11" s="4" t="s">
        <v>33</v>
      </c>
      <c r="C11" s="5" t="s">
        <v>35</v>
      </c>
      <c r="D11" s="9">
        <f>D9</f>
        <v>3.9599999999999995</v>
      </c>
      <c r="E11" s="22"/>
      <c r="F11" s="9">
        <f>D11*E7</f>
        <v>348.47999999999996</v>
      </c>
      <c r="G11" s="13" t="s">
        <v>34</v>
      </c>
    </row>
    <row r="12" spans="1:18" ht="19.5" x14ac:dyDescent="0.25">
      <c r="A12" s="23" t="s">
        <v>40</v>
      </c>
      <c r="B12" s="24"/>
      <c r="C12" s="24"/>
      <c r="D12" s="24"/>
      <c r="E12" s="24"/>
      <c r="F12" s="24"/>
      <c r="G12" s="25"/>
      <c r="H12" s="6"/>
    </row>
    <row r="13" spans="1:18" ht="27" customHeight="1" x14ac:dyDescent="0.25">
      <c r="A13" s="12" t="s">
        <v>48</v>
      </c>
      <c r="B13" s="4" t="s">
        <v>12</v>
      </c>
      <c r="C13" s="5" t="s">
        <v>6</v>
      </c>
      <c r="D13" s="9">
        <v>0.34200000000000003</v>
      </c>
      <c r="E13" s="20">
        <v>92</v>
      </c>
      <c r="F13" s="9">
        <f>D13*E13</f>
        <v>31.464000000000002</v>
      </c>
      <c r="G13" s="13" t="s">
        <v>14</v>
      </c>
      <c r="H13" s="6"/>
      <c r="I13" s="19" t="s">
        <v>44</v>
      </c>
      <c r="J13" s="19"/>
      <c r="K13" s="19" t="s">
        <v>54</v>
      </c>
      <c r="L13" s="19"/>
      <c r="R13" s="14">
        <f>F13</f>
        <v>31.464000000000002</v>
      </c>
    </row>
    <row r="14" spans="1:18" ht="70.5" customHeight="1" x14ac:dyDescent="0.25">
      <c r="A14" s="12" t="s">
        <v>49</v>
      </c>
      <c r="B14" s="4" t="s">
        <v>13</v>
      </c>
      <c r="C14" s="5" t="s">
        <v>6</v>
      </c>
      <c r="D14" s="9">
        <v>1.6339999999999999</v>
      </c>
      <c r="E14" s="21"/>
      <c r="F14" s="9">
        <f>D14*E13</f>
        <v>150.328</v>
      </c>
      <c r="G14" s="13" t="s">
        <v>56</v>
      </c>
      <c r="I14" s="8">
        <f>(1.57*2+0.5*9)*0.888</f>
        <v>6.784320000000001</v>
      </c>
      <c r="J14">
        <f>I14*4</f>
        <v>27.137280000000004</v>
      </c>
      <c r="K14">
        <f>1.57*22*1.208</f>
        <v>41.724319999999999</v>
      </c>
      <c r="L14">
        <f>K14*2</f>
        <v>83.448639999999997</v>
      </c>
      <c r="R14" s="15">
        <f>F14</f>
        <v>150.328</v>
      </c>
    </row>
    <row r="15" spans="1:18" ht="71.25" customHeight="1" x14ac:dyDescent="0.25">
      <c r="A15" s="12" t="s">
        <v>50</v>
      </c>
      <c r="B15" s="4" t="s">
        <v>46</v>
      </c>
      <c r="C15" s="5" t="s">
        <v>35</v>
      </c>
      <c r="D15" s="9">
        <f>(1.65*0.6)*4</f>
        <v>3.9599999999999995</v>
      </c>
      <c r="E15" s="21"/>
      <c r="F15" s="9">
        <f>D15*E13</f>
        <v>364.31999999999994</v>
      </c>
      <c r="G15" s="13"/>
    </row>
    <row r="16" spans="1:18" ht="71.25" customHeight="1" x14ac:dyDescent="0.25">
      <c r="A16" s="12" t="s">
        <v>51</v>
      </c>
      <c r="B16" s="4" t="s">
        <v>53</v>
      </c>
      <c r="C16" s="5" t="s">
        <v>35</v>
      </c>
      <c r="D16" s="9">
        <f>D15</f>
        <v>3.9599999999999995</v>
      </c>
      <c r="E16" s="21"/>
      <c r="F16" s="9">
        <f>D16*E13</f>
        <v>364.31999999999994</v>
      </c>
      <c r="G16" s="13"/>
    </row>
    <row r="17" spans="1:18" ht="71.25" customHeight="1" x14ac:dyDescent="0.25">
      <c r="A17" s="12" t="s">
        <v>52</v>
      </c>
      <c r="B17" s="4" t="s">
        <v>33</v>
      </c>
      <c r="C17" s="5" t="s">
        <v>35</v>
      </c>
      <c r="D17" s="9">
        <f>D15</f>
        <v>3.9599999999999995</v>
      </c>
      <c r="E17" s="22"/>
      <c r="F17" s="9">
        <f>D17*E13</f>
        <v>364.31999999999994</v>
      </c>
      <c r="G17" s="13" t="s">
        <v>34</v>
      </c>
    </row>
    <row r="18" spans="1:18" ht="19.5" x14ac:dyDescent="0.25">
      <c r="A18" s="23" t="s">
        <v>41</v>
      </c>
      <c r="B18" s="24"/>
      <c r="C18" s="24"/>
      <c r="D18" s="24"/>
      <c r="E18" s="24"/>
      <c r="F18" s="24"/>
      <c r="G18" s="25"/>
      <c r="H18" s="6"/>
    </row>
    <row r="19" spans="1:18" ht="27" customHeight="1" x14ac:dyDescent="0.25">
      <c r="A19" s="12" t="s">
        <v>75</v>
      </c>
      <c r="B19" s="4" t="s">
        <v>12</v>
      </c>
      <c r="C19" s="5" t="s">
        <v>6</v>
      </c>
      <c r="D19" s="9">
        <v>0.42599999999999999</v>
      </c>
      <c r="E19" s="20">
        <v>11</v>
      </c>
      <c r="F19" s="9">
        <f>D19*E19</f>
        <v>4.6859999999999999</v>
      </c>
      <c r="G19" s="13" t="s">
        <v>14</v>
      </c>
      <c r="H19" s="6"/>
      <c r="I19" s="19" t="s">
        <v>44</v>
      </c>
      <c r="J19" s="19"/>
      <c r="K19" s="19" t="s">
        <v>58</v>
      </c>
      <c r="L19" s="19"/>
      <c r="M19" s="19" t="s">
        <v>59</v>
      </c>
      <c r="N19" s="19"/>
      <c r="R19" s="14">
        <f>F19</f>
        <v>4.6859999999999999</v>
      </c>
    </row>
    <row r="20" spans="1:18" ht="84.75" customHeight="1" x14ac:dyDescent="0.25">
      <c r="A20" s="12" t="s">
        <v>76</v>
      </c>
      <c r="B20" s="4" t="s">
        <v>13</v>
      </c>
      <c r="C20" s="5" t="s">
        <v>6</v>
      </c>
      <c r="D20" s="9">
        <v>2.0790000000000002</v>
      </c>
      <c r="E20" s="21"/>
      <c r="F20" s="9">
        <f>D20*E19</f>
        <v>22.869000000000003</v>
      </c>
      <c r="G20" s="13" t="s">
        <v>60</v>
      </c>
      <c r="I20" s="8">
        <f>(1.57*2+0.5*9)*0.888</f>
        <v>6.784320000000001</v>
      </c>
      <c r="J20" s="8">
        <f>I20*2</f>
        <v>13.568640000000002</v>
      </c>
      <c r="K20" s="8">
        <f>(2.02*2+0.5*11)*0.888</f>
        <v>8.4715199999999999</v>
      </c>
      <c r="L20" s="8">
        <f>K20*2</f>
        <v>16.94304</v>
      </c>
      <c r="M20" s="8">
        <f>(2.02*9+1.57*11)*1.208</f>
        <v>42.823599999999999</v>
      </c>
      <c r="N20" s="8">
        <f>M20*2</f>
        <v>85.647199999999998</v>
      </c>
      <c r="O20" s="8"/>
      <c r="R20" s="15">
        <f>F20</f>
        <v>22.869000000000003</v>
      </c>
    </row>
    <row r="21" spans="1:18" ht="84.75" customHeight="1" x14ac:dyDescent="0.25">
      <c r="A21" s="12" t="s">
        <v>77</v>
      </c>
      <c r="B21" s="4" t="s">
        <v>57</v>
      </c>
      <c r="C21" s="5" t="s">
        <v>35</v>
      </c>
      <c r="D21" s="9">
        <f>(1.65*0.6)*2+(2.1*0.6)*2</f>
        <v>4.5</v>
      </c>
      <c r="E21" s="21"/>
      <c r="F21" s="9">
        <f>D21*E19</f>
        <v>49.5</v>
      </c>
      <c r="G21" s="13"/>
    </row>
    <row r="22" spans="1:18" ht="84.75" customHeight="1" x14ac:dyDescent="0.25">
      <c r="A22" s="12" t="s">
        <v>78</v>
      </c>
      <c r="B22" s="4" t="s">
        <v>47</v>
      </c>
      <c r="C22" s="5" t="s">
        <v>35</v>
      </c>
      <c r="D22" s="9">
        <f>D21</f>
        <v>4.5</v>
      </c>
      <c r="E22" s="21"/>
      <c r="F22" s="9">
        <f>D22*E19</f>
        <v>49.5</v>
      </c>
      <c r="G22" s="13"/>
    </row>
    <row r="23" spans="1:18" ht="84.75" customHeight="1" x14ac:dyDescent="0.25">
      <c r="A23" s="12" t="s">
        <v>79</v>
      </c>
      <c r="B23" s="4" t="s">
        <v>33</v>
      </c>
      <c r="C23" s="5" t="s">
        <v>35</v>
      </c>
      <c r="D23" s="9">
        <f>D21</f>
        <v>4.5</v>
      </c>
      <c r="E23" s="22"/>
      <c r="F23" s="9">
        <f>D23*E19</f>
        <v>49.5</v>
      </c>
      <c r="G23" s="13" t="s">
        <v>34</v>
      </c>
    </row>
    <row r="24" spans="1:18" ht="19.5" x14ac:dyDescent="0.25">
      <c r="A24" s="23" t="s">
        <v>26</v>
      </c>
      <c r="B24" s="24"/>
      <c r="C24" s="24"/>
      <c r="D24" s="24"/>
      <c r="E24" s="24"/>
      <c r="F24" s="24"/>
      <c r="G24" s="25"/>
      <c r="H24" s="6"/>
    </row>
    <row r="25" spans="1:18" ht="27" customHeight="1" x14ac:dyDescent="0.25">
      <c r="A25" s="12" t="s">
        <v>80</v>
      </c>
      <c r="B25" s="4" t="s">
        <v>12</v>
      </c>
      <c r="C25" s="5" t="s">
        <v>6</v>
      </c>
      <c r="D25" s="9">
        <v>1</v>
      </c>
      <c r="E25" s="20">
        <v>1</v>
      </c>
      <c r="F25" s="9">
        <f>D25*E25</f>
        <v>1</v>
      </c>
      <c r="G25" s="13" t="s">
        <v>14</v>
      </c>
      <c r="H25" s="6"/>
      <c r="I25" s="19" t="s">
        <v>61</v>
      </c>
      <c r="J25" s="19"/>
      <c r="K25" s="19" t="s">
        <v>62</v>
      </c>
      <c r="L25" s="19"/>
      <c r="M25" s="19" t="s">
        <v>63</v>
      </c>
      <c r="N25" s="19"/>
      <c r="R25" s="14">
        <f>F25</f>
        <v>1</v>
      </c>
    </row>
    <row r="26" spans="1:18" ht="81" customHeight="1" x14ac:dyDescent="0.25">
      <c r="A26" s="12" t="s">
        <v>81</v>
      </c>
      <c r="B26" s="4" t="s">
        <v>13</v>
      </c>
      <c r="C26" s="5" t="s">
        <v>6</v>
      </c>
      <c r="D26" s="9">
        <v>5.28</v>
      </c>
      <c r="E26" s="21"/>
      <c r="F26" s="9">
        <f>D26*E25</f>
        <v>5.28</v>
      </c>
      <c r="G26" s="13" t="s">
        <v>66</v>
      </c>
      <c r="I26" s="8">
        <f>(2.45*2+0.5*13)*0.888</f>
        <v>10.123200000000001</v>
      </c>
      <c r="J26" s="8">
        <f>I26*6</f>
        <v>60.739200000000004</v>
      </c>
      <c r="K26" s="8">
        <f>(3.4*2+0.5*18)*0.888</f>
        <v>14.0304</v>
      </c>
      <c r="L26" s="8">
        <f>K26*2</f>
        <v>28.0608</v>
      </c>
      <c r="M26" s="8">
        <f>(3.4*13+2.45*18)*1.208</f>
        <v>106.6664</v>
      </c>
      <c r="N26" s="8">
        <f>M26*2</f>
        <v>213.33279999999999</v>
      </c>
      <c r="R26" s="15">
        <f>F26</f>
        <v>5.28</v>
      </c>
    </row>
    <row r="27" spans="1:18" ht="81" customHeight="1" x14ac:dyDescent="0.25">
      <c r="A27" s="12" t="s">
        <v>82</v>
      </c>
      <c r="B27" s="4" t="s">
        <v>46</v>
      </c>
      <c r="C27" s="5" t="s">
        <v>35</v>
      </c>
      <c r="D27" s="9">
        <f>(2.19*0.6)*2+(3.48*0.6)*2</f>
        <v>6.8040000000000003</v>
      </c>
      <c r="E27" s="21"/>
      <c r="F27" s="9">
        <f>D27*E25</f>
        <v>6.8040000000000003</v>
      </c>
      <c r="G27" s="13"/>
    </row>
    <row r="28" spans="1:18" ht="81" customHeight="1" x14ac:dyDescent="0.25">
      <c r="A28" s="12" t="s">
        <v>83</v>
      </c>
      <c r="B28" s="4" t="s">
        <v>53</v>
      </c>
      <c r="C28" s="5" t="s">
        <v>35</v>
      </c>
      <c r="D28" s="9">
        <f>D27</f>
        <v>6.8040000000000003</v>
      </c>
      <c r="E28" s="21"/>
      <c r="F28" s="9">
        <f>D28*E25</f>
        <v>6.8040000000000003</v>
      </c>
      <c r="G28" s="13"/>
    </row>
    <row r="29" spans="1:18" ht="81" customHeight="1" x14ac:dyDescent="0.25">
      <c r="A29" s="12" t="s">
        <v>84</v>
      </c>
      <c r="B29" s="4" t="s">
        <v>33</v>
      </c>
      <c r="C29" s="5" t="s">
        <v>35</v>
      </c>
      <c r="D29" s="9">
        <f>D27</f>
        <v>6.8040000000000003</v>
      </c>
      <c r="E29" s="22"/>
      <c r="F29" s="9">
        <f>D29*E25</f>
        <v>6.8040000000000003</v>
      </c>
      <c r="G29" s="13" t="s">
        <v>34</v>
      </c>
    </row>
    <row r="30" spans="1:18" ht="24" customHeight="1" x14ac:dyDescent="0.25">
      <c r="A30" s="23" t="s">
        <v>42</v>
      </c>
      <c r="B30" s="24"/>
      <c r="C30" s="24"/>
      <c r="D30" s="24"/>
      <c r="E30" s="24"/>
      <c r="F30" s="24"/>
      <c r="G30" s="25"/>
    </row>
    <row r="31" spans="1:18" ht="81" customHeight="1" x14ac:dyDescent="0.25">
      <c r="A31" s="12" t="s">
        <v>85</v>
      </c>
      <c r="B31" s="4" t="s">
        <v>12</v>
      </c>
      <c r="C31" s="5" t="s">
        <v>6</v>
      </c>
      <c r="D31" s="9">
        <v>1.84</v>
      </c>
      <c r="E31" s="20">
        <v>1</v>
      </c>
      <c r="F31" s="9">
        <f>D31*E31</f>
        <v>1.84</v>
      </c>
      <c r="G31" s="13" t="s">
        <v>14</v>
      </c>
      <c r="I31" s="19" t="s">
        <v>64</v>
      </c>
      <c r="J31" s="19"/>
      <c r="K31" s="19" t="s">
        <v>65</v>
      </c>
      <c r="L31" s="19"/>
      <c r="M31" s="19"/>
      <c r="N31" s="19"/>
      <c r="R31" s="14">
        <f>F31</f>
        <v>1.84</v>
      </c>
    </row>
    <row r="32" spans="1:18" ht="116.25" customHeight="1" x14ac:dyDescent="0.25">
      <c r="A32" s="12" t="s">
        <v>86</v>
      </c>
      <c r="B32" s="4" t="s">
        <v>13</v>
      </c>
      <c r="C32" s="5" t="s">
        <v>6</v>
      </c>
      <c r="D32" s="9">
        <v>10.039999999999999</v>
      </c>
      <c r="E32" s="21"/>
      <c r="F32" s="9">
        <f>D32*E31</f>
        <v>10.039999999999999</v>
      </c>
      <c r="G32" s="13" t="s">
        <v>67</v>
      </c>
      <c r="I32" s="8">
        <f>(3.335*2+0.5*17)*0.888</f>
        <v>13.47096</v>
      </c>
      <c r="J32" s="8">
        <f>I32*9</f>
        <v>121.23864</v>
      </c>
      <c r="K32" s="8">
        <f>(4.82*2+0.5*25)*0.888</f>
        <v>19.660320000000002</v>
      </c>
      <c r="L32" s="8">
        <f>K32*2</f>
        <v>39.320640000000004</v>
      </c>
      <c r="M32" s="8">
        <f>5.823*38</f>
        <v>221.274</v>
      </c>
      <c r="N32" s="8">
        <f>4.029*52</f>
        <v>209.50799999999998</v>
      </c>
      <c r="R32" s="15">
        <f>F32</f>
        <v>10.039999999999999</v>
      </c>
    </row>
    <row r="33" spans="1:18" ht="81" customHeight="1" x14ac:dyDescent="0.25">
      <c r="A33" s="12" t="s">
        <v>87</v>
      </c>
      <c r="B33" s="4" t="s">
        <v>46</v>
      </c>
      <c r="C33" s="5" t="s">
        <v>35</v>
      </c>
      <c r="D33" s="9">
        <f>(3.415*0.6)*2+(4.9*0.6)*2</f>
        <v>9.9779999999999998</v>
      </c>
      <c r="E33" s="21"/>
      <c r="F33" s="9">
        <f>D33*E31</f>
        <v>9.9779999999999998</v>
      </c>
      <c r="G33" s="13"/>
    </row>
    <row r="34" spans="1:18" ht="81" customHeight="1" x14ac:dyDescent="0.25">
      <c r="A34" s="12" t="s">
        <v>88</v>
      </c>
      <c r="B34" s="4" t="s">
        <v>53</v>
      </c>
      <c r="C34" s="5" t="s">
        <v>35</v>
      </c>
      <c r="D34" s="9">
        <f>D33</f>
        <v>9.9779999999999998</v>
      </c>
      <c r="E34" s="21"/>
      <c r="F34" s="9">
        <f>D34*E31</f>
        <v>9.9779999999999998</v>
      </c>
      <c r="G34" s="13"/>
    </row>
    <row r="35" spans="1:18" ht="81" customHeight="1" x14ac:dyDescent="0.25">
      <c r="A35" s="12" t="s">
        <v>89</v>
      </c>
      <c r="B35" s="4" t="s">
        <v>33</v>
      </c>
      <c r="C35" s="5" t="s">
        <v>35</v>
      </c>
      <c r="D35" s="9">
        <f>D33</f>
        <v>9.9779999999999998</v>
      </c>
      <c r="E35" s="22"/>
      <c r="F35" s="9">
        <f>D35*E31</f>
        <v>9.9779999999999998</v>
      </c>
      <c r="G35" s="13" t="s">
        <v>34</v>
      </c>
    </row>
    <row r="36" spans="1:18" ht="19.5" x14ac:dyDescent="0.25">
      <c r="A36" s="23" t="s">
        <v>43</v>
      </c>
      <c r="B36" s="24"/>
      <c r="C36" s="24"/>
      <c r="D36" s="24"/>
      <c r="E36" s="24"/>
      <c r="F36" s="24"/>
      <c r="G36" s="25"/>
    </row>
    <row r="37" spans="1:18" ht="15.75" x14ac:dyDescent="0.25">
      <c r="A37" s="12" t="s">
        <v>90</v>
      </c>
      <c r="B37" s="4" t="s">
        <v>12</v>
      </c>
      <c r="C37" s="5" t="s">
        <v>6</v>
      </c>
      <c r="D37" s="26">
        <f>0.7*335*0.1+1.05*49.3*0.1+0.8*8.7*0.1+0.7*15*0.1</f>
        <v>30.372500000000002</v>
      </c>
      <c r="E37" s="27"/>
      <c r="F37" s="28"/>
      <c r="G37" s="13" t="s">
        <v>14</v>
      </c>
      <c r="J37" t="s">
        <v>68</v>
      </c>
      <c r="K37" t="s">
        <v>69</v>
      </c>
      <c r="L37" t="s">
        <v>70</v>
      </c>
      <c r="M37">
        <v>16</v>
      </c>
      <c r="N37" t="s">
        <v>71</v>
      </c>
      <c r="O37" t="s">
        <v>72</v>
      </c>
      <c r="P37" t="s">
        <v>73</v>
      </c>
      <c r="R37" s="14">
        <f>D37</f>
        <v>30.372500000000002</v>
      </c>
    </row>
    <row r="38" spans="1:18" ht="134.25" customHeight="1" x14ac:dyDescent="0.25">
      <c r="A38" s="12" t="s">
        <v>91</v>
      </c>
      <c r="B38" s="4" t="s">
        <v>74</v>
      </c>
      <c r="C38" s="5" t="s">
        <v>6</v>
      </c>
      <c r="D38" s="29">
        <f>131.43+30.11+3.8+5.47</f>
        <v>170.81000000000003</v>
      </c>
      <c r="E38" s="29"/>
      <c r="F38" s="29"/>
      <c r="G38" s="13" t="s">
        <v>100</v>
      </c>
      <c r="I38" t="s">
        <v>97</v>
      </c>
      <c r="J38" s="8">
        <f>1.578*2/1000</f>
        <v>3.156E-3</v>
      </c>
      <c r="K38" s="8">
        <f>1.578*2/1000</f>
        <v>3.156E-3</v>
      </c>
      <c r="L38" s="8" t="s">
        <v>99</v>
      </c>
      <c r="M38" s="8">
        <f>3846.2*1.578/1000</f>
        <v>6.0693036000000005</v>
      </c>
      <c r="N38" s="8">
        <f>500*0.488/1000</f>
        <v>0.24399999999999999</v>
      </c>
      <c r="O38" s="8">
        <f>88*0.333/1000</f>
        <v>2.9304000000000004E-2</v>
      </c>
      <c r="P38" s="8">
        <f>3555*0.272/1000</f>
        <v>0.96696000000000004</v>
      </c>
      <c r="R38" s="15">
        <f>D38</f>
        <v>170.81000000000003</v>
      </c>
    </row>
    <row r="39" spans="1:18" ht="31.5" x14ac:dyDescent="0.25">
      <c r="A39" s="12" t="s">
        <v>92</v>
      </c>
      <c r="B39" s="4" t="s">
        <v>57</v>
      </c>
      <c r="C39" s="5" t="s">
        <v>35</v>
      </c>
      <c r="D39" s="26">
        <f>(131.43/0.5*2)+(30.11/0.85*2)+(3.8/0.6*2)+(5.47/0.5*2)</f>
        <v>631.11372549019609</v>
      </c>
      <c r="E39" s="27"/>
      <c r="F39" s="28"/>
      <c r="G39" s="13"/>
      <c r="I39" t="s">
        <v>98</v>
      </c>
      <c r="J39" s="8">
        <f>0.51*5*0.617/1000</f>
        <v>1.5733499999999998E-3</v>
      </c>
      <c r="K39" s="8">
        <f>0.71*5*0.617/1000</f>
        <v>2.1903500000000002E-3</v>
      </c>
      <c r="L39" s="8"/>
    </row>
    <row r="40" spans="1:18" ht="31.5" x14ac:dyDescent="0.25">
      <c r="A40" s="12" t="s">
        <v>93</v>
      </c>
      <c r="B40" s="4" t="s">
        <v>47</v>
      </c>
      <c r="C40" s="5" t="s">
        <v>35</v>
      </c>
      <c r="D40" s="26">
        <f>D39</f>
        <v>631.11372549019609</v>
      </c>
      <c r="E40" s="27"/>
      <c r="F40" s="28"/>
      <c r="G40" s="13"/>
      <c r="J40" s="8">
        <f>J38+J39</f>
        <v>4.7293500000000002E-3</v>
      </c>
      <c r="K40" s="8">
        <f>K38+K39</f>
        <v>5.3463499999999997E-3</v>
      </c>
      <c r="L40" s="8"/>
    </row>
    <row r="41" spans="1:18" ht="31.5" x14ac:dyDescent="0.25">
      <c r="A41" s="12" t="s">
        <v>94</v>
      </c>
      <c r="B41" s="4" t="s">
        <v>103</v>
      </c>
      <c r="C41" s="5" t="s">
        <v>104</v>
      </c>
      <c r="D41" s="26">
        <f>(2.1*48+1.38*6)/1000</f>
        <v>0.10908000000000001</v>
      </c>
      <c r="E41" s="27"/>
      <c r="F41" s="28"/>
      <c r="G41" s="13" t="s">
        <v>105</v>
      </c>
      <c r="J41" s="8"/>
      <c r="K41" s="8"/>
      <c r="L41" s="8"/>
    </row>
    <row r="42" spans="1:18" ht="31.5" x14ac:dyDescent="0.25">
      <c r="A42" s="12" t="s">
        <v>102</v>
      </c>
      <c r="B42" s="4" t="s">
        <v>33</v>
      </c>
      <c r="C42" s="5" t="s">
        <v>35</v>
      </c>
      <c r="D42" s="26">
        <f>D39</f>
        <v>631.11372549019609</v>
      </c>
      <c r="E42" s="27"/>
      <c r="F42" s="28"/>
      <c r="G42" s="13" t="s">
        <v>34</v>
      </c>
      <c r="J42" s="8">
        <f>1544.6*J40</f>
        <v>7.3049540100000003</v>
      </c>
      <c r="K42" s="8">
        <f>368.5*K40</f>
        <v>1.9701299749999999</v>
      </c>
      <c r="L42" s="8">
        <f>(0.575*5*0.617+2*0.395)*356.1/1000</f>
        <v>0.91299588749999994</v>
      </c>
    </row>
    <row r="43" spans="1:18" x14ac:dyDescent="0.25">
      <c r="Q43" t="s">
        <v>14</v>
      </c>
      <c r="R43" s="16">
        <f>SUM(R6+R13+R19+R25+R31+R37)</f>
        <v>99.458500000000015</v>
      </c>
    </row>
    <row r="44" spans="1:18" x14ac:dyDescent="0.25">
      <c r="Q44" t="s">
        <v>96</v>
      </c>
      <c r="R44" s="17">
        <f>R7+R14+R20+R26+R32+R38</f>
        <v>503.11900000000003</v>
      </c>
    </row>
  </sheetData>
  <mergeCells count="33">
    <mergeCell ref="A2:G2"/>
    <mergeCell ref="A3:G3"/>
    <mergeCell ref="A5:G5"/>
    <mergeCell ref="A6:G6"/>
    <mergeCell ref="A1:G1"/>
    <mergeCell ref="D37:F37"/>
    <mergeCell ref="D38:F38"/>
    <mergeCell ref="D39:F39"/>
    <mergeCell ref="D42:F42"/>
    <mergeCell ref="A18:G18"/>
    <mergeCell ref="A24:G24"/>
    <mergeCell ref="D40:F40"/>
    <mergeCell ref="D41:F41"/>
    <mergeCell ref="E7:E11"/>
    <mergeCell ref="E13:E17"/>
    <mergeCell ref="E19:E23"/>
    <mergeCell ref="E25:E29"/>
    <mergeCell ref="A36:G36"/>
    <mergeCell ref="A12:G12"/>
    <mergeCell ref="A30:G30"/>
    <mergeCell ref="E31:E35"/>
    <mergeCell ref="I7:J7"/>
    <mergeCell ref="I13:J13"/>
    <mergeCell ref="K13:L13"/>
    <mergeCell ref="I19:J19"/>
    <mergeCell ref="M19:N19"/>
    <mergeCell ref="K19:L19"/>
    <mergeCell ref="I25:J25"/>
    <mergeCell ref="K25:L25"/>
    <mergeCell ref="M25:N25"/>
    <mergeCell ref="I31:J31"/>
    <mergeCell ref="K31:L31"/>
    <mergeCell ref="M31:N3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63AB-2D9C-4889-912E-4771EE3AA041}">
  <dimension ref="A1:F29"/>
  <sheetViews>
    <sheetView workbookViewId="0">
      <selection activeCell="F24" sqref="F24"/>
    </sheetView>
  </sheetViews>
  <sheetFormatPr defaultRowHeight="15" x14ac:dyDescent="0.25"/>
  <cols>
    <col min="1" max="1" width="26.28515625" customWidth="1"/>
    <col min="2" max="2" width="28.85546875" customWidth="1"/>
    <col min="3" max="3" width="17.7109375" customWidth="1"/>
    <col min="4" max="4" width="22.140625" customWidth="1"/>
    <col min="5" max="5" width="17.7109375" customWidth="1"/>
    <col min="6" max="6" width="14" customWidth="1"/>
  </cols>
  <sheetData>
    <row r="1" spans="1:6" x14ac:dyDescent="0.25">
      <c r="A1" t="s">
        <v>19</v>
      </c>
      <c r="B1" t="s">
        <v>20</v>
      </c>
      <c r="C1" t="s">
        <v>21</v>
      </c>
      <c r="D1" t="s">
        <v>25</v>
      </c>
      <c r="E1" t="s">
        <v>27</v>
      </c>
      <c r="F1" t="s">
        <v>28</v>
      </c>
    </row>
    <row r="2" spans="1:6" x14ac:dyDescent="0.25">
      <c r="A2" s="40" t="s">
        <v>24</v>
      </c>
      <c r="B2" s="40"/>
      <c r="C2" s="40"/>
      <c r="D2" s="40"/>
      <c r="E2" s="40"/>
      <c r="F2" s="40"/>
    </row>
    <row r="3" spans="1:6" x14ac:dyDescent="0.25">
      <c r="A3" t="s">
        <v>18</v>
      </c>
      <c r="B3">
        <v>2</v>
      </c>
      <c r="C3">
        <f>6.767</f>
        <v>6.7670000000000003</v>
      </c>
      <c r="D3">
        <f>B3*C3</f>
        <v>13.534000000000001</v>
      </c>
      <c r="E3" s="19">
        <v>180</v>
      </c>
      <c r="F3" s="8">
        <f>D3*E3</f>
        <v>2436.1200000000003</v>
      </c>
    </row>
    <row r="4" spans="1:6" x14ac:dyDescent="0.25">
      <c r="A4" t="s">
        <v>22</v>
      </c>
      <c r="B4">
        <v>2</v>
      </c>
      <c r="C4">
        <f>6.767</f>
        <v>6.7670000000000003</v>
      </c>
      <c r="D4">
        <f>B4*C4</f>
        <v>13.534000000000001</v>
      </c>
      <c r="E4" s="19"/>
      <c r="F4" s="8">
        <f>D4*E3</f>
        <v>2436.1200000000003</v>
      </c>
    </row>
    <row r="5" spans="1:6" x14ac:dyDescent="0.25">
      <c r="A5" t="s">
        <v>23</v>
      </c>
      <c r="B5">
        <v>36</v>
      </c>
      <c r="C5">
        <v>1.3939999999999999</v>
      </c>
      <c r="D5">
        <f>B5*C5</f>
        <v>50.183999999999997</v>
      </c>
      <c r="E5" s="19"/>
      <c r="F5" s="8">
        <f>D5*E3</f>
        <v>9033.119999999999</v>
      </c>
    </row>
    <row r="7" spans="1:6" x14ac:dyDescent="0.25">
      <c r="A7" s="40" t="s">
        <v>29</v>
      </c>
      <c r="B7" s="40"/>
      <c r="C7" s="40"/>
      <c r="D7" s="40"/>
      <c r="E7" s="40"/>
      <c r="F7" s="40"/>
    </row>
    <row r="8" spans="1:6" x14ac:dyDescent="0.25">
      <c r="A8" t="s">
        <v>18</v>
      </c>
      <c r="B8">
        <v>2</v>
      </c>
      <c r="C8">
        <v>8.4719999999999995</v>
      </c>
      <c r="D8">
        <f>B8*C8</f>
        <v>16.943999999999999</v>
      </c>
      <c r="E8" s="19">
        <v>11</v>
      </c>
      <c r="F8">
        <f>D8*E8</f>
        <v>186.38399999999999</v>
      </c>
    </row>
    <row r="9" spans="1:6" x14ac:dyDescent="0.25">
      <c r="A9" t="s">
        <v>22</v>
      </c>
      <c r="B9">
        <v>2</v>
      </c>
      <c r="C9">
        <v>6.641</v>
      </c>
      <c r="D9">
        <f>B9*C9</f>
        <v>13.282</v>
      </c>
      <c r="E9" s="19"/>
      <c r="F9">
        <f>D9*E8</f>
        <v>146.102</v>
      </c>
    </row>
    <row r="10" spans="1:6" x14ac:dyDescent="0.25">
      <c r="A10" t="s">
        <v>23</v>
      </c>
      <c r="B10">
        <v>18</v>
      </c>
      <c r="C10">
        <v>1.794</v>
      </c>
      <c r="D10">
        <f>B10*C10</f>
        <v>32.292000000000002</v>
      </c>
      <c r="E10" s="19"/>
      <c r="F10">
        <f>D10*E8</f>
        <v>355.21199999999999</v>
      </c>
    </row>
    <row r="11" spans="1:6" x14ac:dyDescent="0.25">
      <c r="A11" t="s">
        <v>23</v>
      </c>
      <c r="B11">
        <v>22</v>
      </c>
      <c r="C11">
        <v>1.385</v>
      </c>
      <c r="D11">
        <f>B11*C11</f>
        <v>30.47</v>
      </c>
      <c r="E11" s="19"/>
      <c r="F11">
        <f>D11*E8</f>
        <v>335.16999999999996</v>
      </c>
    </row>
    <row r="13" spans="1:6" x14ac:dyDescent="0.25">
      <c r="A13" s="40" t="s">
        <v>30</v>
      </c>
      <c r="B13" s="40"/>
      <c r="C13" s="40"/>
      <c r="D13" s="40"/>
      <c r="E13" s="40"/>
      <c r="F13" s="40"/>
    </row>
    <row r="14" spans="1:6" x14ac:dyDescent="0.25">
      <c r="A14" t="s">
        <v>18</v>
      </c>
      <c r="B14">
        <v>2</v>
      </c>
      <c r="C14">
        <v>14.066000000000001</v>
      </c>
      <c r="D14">
        <f>B14*C14</f>
        <v>28.132000000000001</v>
      </c>
      <c r="E14" s="19">
        <v>1</v>
      </c>
      <c r="F14">
        <f>D14*E14</f>
        <v>28.132000000000001</v>
      </c>
    </row>
    <row r="15" spans="1:6" x14ac:dyDescent="0.25">
      <c r="A15" t="s">
        <v>22</v>
      </c>
      <c r="B15">
        <v>6</v>
      </c>
      <c r="C15">
        <v>10.159000000000001</v>
      </c>
      <c r="D15">
        <f>B15*C15</f>
        <v>60.954000000000008</v>
      </c>
      <c r="E15" s="19"/>
      <c r="F15">
        <f>D15*E14</f>
        <v>60.954000000000008</v>
      </c>
    </row>
    <row r="16" spans="1:6" x14ac:dyDescent="0.25">
      <c r="A16" t="s">
        <v>23</v>
      </c>
      <c r="B16">
        <v>26</v>
      </c>
      <c r="C16">
        <v>3.0369999999999999</v>
      </c>
      <c r="D16">
        <f>B16*C16</f>
        <v>78.962000000000003</v>
      </c>
      <c r="E16" s="19"/>
      <c r="F16">
        <f>D16*E14</f>
        <v>78.962000000000003</v>
      </c>
    </row>
    <row r="17" spans="1:6" x14ac:dyDescent="0.25">
      <c r="A17" t="s">
        <v>23</v>
      </c>
      <c r="B17">
        <v>36</v>
      </c>
      <c r="C17">
        <v>2.1930000000000001</v>
      </c>
      <c r="D17">
        <f>B17*C17</f>
        <v>78.948000000000008</v>
      </c>
      <c r="E17" s="19"/>
      <c r="F17">
        <f>D17*E14</f>
        <v>78.948000000000008</v>
      </c>
    </row>
    <row r="19" spans="1:6" x14ac:dyDescent="0.25">
      <c r="A19" s="40" t="s">
        <v>31</v>
      </c>
      <c r="B19" s="40"/>
      <c r="C19" s="40"/>
      <c r="D19" s="40"/>
      <c r="E19" s="40"/>
      <c r="F19" s="40"/>
    </row>
    <row r="20" spans="1:6" x14ac:dyDescent="0.25">
      <c r="A20" t="s">
        <v>18</v>
      </c>
      <c r="B20">
        <v>2</v>
      </c>
      <c r="C20">
        <v>18.817</v>
      </c>
      <c r="D20">
        <f>B20*C20</f>
        <v>37.634</v>
      </c>
      <c r="E20" s="19">
        <v>1</v>
      </c>
      <c r="F20">
        <f>D20*E20</f>
        <v>37.634</v>
      </c>
    </row>
    <row r="21" spans="1:6" x14ac:dyDescent="0.25">
      <c r="A21" t="s">
        <v>22</v>
      </c>
      <c r="B21">
        <v>8</v>
      </c>
      <c r="C21">
        <v>14.776</v>
      </c>
      <c r="D21">
        <f>B21*C21</f>
        <v>118.208</v>
      </c>
      <c r="E21" s="19"/>
      <c r="F21">
        <f>D21*E20</f>
        <v>118.208</v>
      </c>
    </row>
    <row r="22" spans="1:6" x14ac:dyDescent="0.25">
      <c r="A22" t="s">
        <v>23</v>
      </c>
      <c r="B22">
        <v>38</v>
      </c>
      <c r="C22">
        <v>4.08</v>
      </c>
      <c r="D22">
        <f>B22*C22</f>
        <v>155.04</v>
      </c>
      <c r="E22" s="19"/>
      <c r="F22">
        <f>D22*E20</f>
        <v>155.04</v>
      </c>
    </row>
    <row r="23" spans="1:6" x14ac:dyDescent="0.25">
      <c r="A23" t="s">
        <v>23</v>
      </c>
      <c r="B23">
        <v>48</v>
      </c>
      <c r="C23">
        <v>3.17</v>
      </c>
      <c r="D23">
        <f>B23*C23</f>
        <v>152.16</v>
      </c>
      <c r="E23" s="19"/>
      <c r="F23">
        <f>D23*E20</f>
        <v>152.16</v>
      </c>
    </row>
    <row r="24" spans="1:6" x14ac:dyDescent="0.25">
      <c r="F24" s="8">
        <f>SUM(F3,F4,F5,F8,F9,F10,F11,F14,F15,F16,F17,F20,F21,F22,F23)</f>
        <v>15638.266000000001</v>
      </c>
    </row>
    <row r="25" spans="1:6" x14ac:dyDescent="0.25">
      <c r="A25" s="40" t="s">
        <v>36</v>
      </c>
      <c r="B25" s="40"/>
      <c r="C25" s="40"/>
      <c r="D25" s="40"/>
      <c r="E25" s="40"/>
      <c r="F25" s="40"/>
    </row>
    <row r="26" spans="1:6" x14ac:dyDescent="0.25">
      <c r="A26" t="s">
        <v>37</v>
      </c>
      <c r="B26">
        <f>(6.707+6.273+5.602+4.695)*8+(3.551+3.314)*16</f>
        <v>296.05600000000004</v>
      </c>
      <c r="E26" s="19"/>
    </row>
    <row r="27" spans="1:6" x14ac:dyDescent="0.25">
      <c r="A27" t="s">
        <v>38</v>
      </c>
      <c r="B27">
        <f>41.45122*0.272</f>
        <v>11.274731840000001</v>
      </c>
      <c r="E27" s="19"/>
    </row>
    <row r="28" spans="1:6" x14ac:dyDescent="0.25">
      <c r="E28" s="19"/>
    </row>
    <row r="29" spans="1:6" x14ac:dyDescent="0.25">
      <c r="E29" s="19"/>
    </row>
  </sheetData>
  <mergeCells count="10">
    <mergeCell ref="E3:E5"/>
    <mergeCell ref="A2:F2"/>
    <mergeCell ref="A7:F7"/>
    <mergeCell ref="E8:E11"/>
    <mergeCell ref="A25:F25"/>
    <mergeCell ref="E26:E29"/>
    <mergeCell ref="A13:F13"/>
    <mergeCell ref="E14:E17"/>
    <mergeCell ref="A19:F19"/>
    <mergeCell ref="E20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Нестерова Александра Евгеньевна</cp:lastModifiedBy>
  <dcterms:created xsi:type="dcterms:W3CDTF">2015-06-05T18:19:34Z</dcterms:created>
  <dcterms:modified xsi:type="dcterms:W3CDTF">2025-10-17T07:36:27Z</dcterms:modified>
</cp:coreProperties>
</file>