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портивная\_ВОР\"/>
    </mc:Choice>
  </mc:AlternateContent>
  <xr:revisionPtr revIDLastSave="0" documentId="13_ncr:1_{94BBB4CA-2C07-490C-BE6C-82A4727DCB00}" xr6:coauthVersionLast="47" xr6:coauthVersionMax="47" xr10:uidLastSave="{00000000-0000-0000-0000-000000000000}"/>
  <bookViews>
    <workbookView xWindow="1995" yWindow="0" windowWidth="25200" windowHeight="15480" xr2:uid="{00000000-000D-0000-FFFF-FFFF00000000}"/>
  </bookViews>
  <sheets>
    <sheet name="ВОР (2)" sheetId="10" r:id="rId1"/>
    <sheet name="Лист1" sheetId="7" state="hidden" r:id="rId2"/>
    <sheet name="Окна послед редакция" sheetId="6" state="hidden" r:id="rId3"/>
    <sheet name="Окна" sheetId="8" state="hidden" r:id="rId4"/>
    <sheet name="Сетка" sheetId="3" state="hidden" r:id="rId5"/>
    <sheet name="Замки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0" l="1"/>
  <c r="I10" i="10"/>
  <c r="E32" i="10"/>
  <c r="N45" i="8"/>
  <c r="N42" i="8"/>
  <c r="N43" i="8"/>
  <c r="N41" i="8"/>
  <c r="N40" i="8"/>
  <c r="N39" i="8"/>
  <c r="N37" i="8"/>
  <c r="N35" i="8"/>
  <c r="N34" i="8"/>
  <c r="N32" i="8"/>
  <c r="N23" i="8"/>
  <c r="N24" i="8"/>
  <c r="N25" i="8"/>
  <c r="N26" i="8"/>
  <c r="N27" i="8"/>
  <c r="N28" i="8"/>
  <c r="N29" i="8"/>
  <c r="N30" i="8"/>
  <c r="N31" i="8"/>
  <c r="N22" i="8"/>
  <c r="D29" i="8"/>
  <c r="D30" i="8"/>
  <c r="H49" i="10"/>
  <c r="H48" i="10"/>
  <c r="H47" i="10"/>
  <c r="H45" i="10"/>
  <c r="H44" i="10"/>
  <c r="H43" i="10"/>
  <c r="H42" i="10"/>
  <c r="H40" i="10"/>
  <c r="H39" i="10"/>
  <c r="H38" i="10"/>
  <c r="H37" i="10"/>
  <c r="G46" i="10"/>
  <c r="H46" i="10" s="1"/>
  <c r="G41" i="10"/>
  <c r="H41" i="10" s="1"/>
  <c r="G36" i="10"/>
  <c r="H36" i="10" s="1"/>
  <c r="G27" i="8"/>
  <c r="H27" i="8" s="1"/>
  <c r="E31" i="10"/>
  <c r="E8" i="10"/>
  <c r="M29" i="10"/>
  <c r="N29" i="10" s="1"/>
  <c r="H29" i="10"/>
  <c r="E29" i="10" s="1"/>
  <c r="M28" i="10"/>
  <c r="N28" i="10" s="1"/>
  <c r="H28" i="10"/>
  <c r="E28" i="10" s="1"/>
  <c r="M27" i="10"/>
  <c r="N27" i="10" s="1"/>
  <c r="H27" i="10"/>
  <c r="M26" i="10"/>
  <c r="N26" i="10" s="1"/>
  <c r="H26" i="10"/>
  <c r="M25" i="10"/>
  <c r="N25" i="10" s="1"/>
  <c r="H25" i="10"/>
  <c r="M24" i="10"/>
  <c r="N24" i="10" s="1"/>
  <c r="H24" i="10"/>
  <c r="M23" i="10"/>
  <c r="N23" i="10" s="1"/>
  <c r="H23" i="10"/>
  <c r="M22" i="10"/>
  <c r="N22" i="10" s="1"/>
  <c r="H22" i="10"/>
  <c r="N21" i="10"/>
  <c r="M21" i="10"/>
  <c r="H21" i="10"/>
  <c r="M20" i="10"/>
  <c r="N20" i="10" s="1"/>
  <c r="H20" i="10"/>
  <c r="N19" i="10"/>
  <c r="M19" i="10"/>
  <c r="H19" i="10"/>
  <c r="M18" i="10"/>
  <c r="N18" i="10" s="1"/>
  <c r="H18" i="10"/>
  <c r="M17" i="10"/>
  <c r="N17" i="10" s="1"/>
  <c r="H17" i="10"/>
  <c r="M16" i="10"/>
  <c r="N16" i="10" s="1"/>
  <c r="H16" i="10"/>
  <c r="M15" i="10"/>
  <c r="N15" i="10" s="1"/>
  <c r="H15" i="10"/>
  <c r="M14" i="10"/>
  <c r="N14" i="10" s="1"/>
  <c r="H14" i="10"/>
  <c r="H13" i="10"/>
  <c r="E13" i="10" s="1"/>
  <c r="P5" i="8"/>
  <c r="G12" i="8"/>
  <c r="H12" i="8" s="1"/>
  <c r="G15" i="8"/>
  <c r="H15" i="8" s="1"/>
  <c r="G16" i="8"/>
  <c r="H16" i="8" s="1"/>
  <c r="G13" i="8"/>
  <c r="H13" i="8" s="1"/>
  <c r="O5" i="8" s="1"/>
  <c r="G14" i="8"/>
  <c r="H14" i="8" s="1"/>
  <c r="N5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M5" i="8" s="1"/>
  <c r="G24" i="8"/>
  <c r="H24" i="8" s="1"/>
  <c r="G25" i="8"/>
  <c r="H25" i="8" s="1"/>
  <c r="G26" i="8"/>
  <c r="H26" i="8" s="1"/>
  <c r="G28" i="8"/>
  <c r="H28" i="8" s="1"/>
  <c r="G6" i="8"/>
  <c r="H6" i="8" s="1"/>
  <c r="G7" i="8"/>
  <c r="H7" i="8" s="1"/>
  <c r="J5" i="8" s="1"/>
  <c r="G8" i="8"/>
  <c r="H8" i="8" s="1"/>
  <c r="G9" i="8"/>
  <c r="H9" i="8" s="1"/>
  <c r="G10" i="8"/>
  <c r="H10" i="8" s="1"/>
  <c r="G11" i="8"/>
  <c r="H11" i="8" s="1"/>
  <c r="G5" i="8"/>
  <c r="H5" i="8" s="1"/>
  <c r="L5" i="8" s="1"/>
  <c r="E36" i="10" l="1"/>
  <c r="E43" i="10"/>
  <c r="K5" i="8"/>
  <c r="H12" i="10"/>
  <c r="E12" i="10" s="1"/>
  <c r="E14" i="10"/>
  <c r="E16" i="10"/>
  <c r="E18" i="10"/>
  <c r="E23" i="10"/>
  <c r="E26" i="10"/>
  <c r="M30" i="10"/>
  <c r="M34" i="10" s="1"/>
  <c r="N30" i="10"/>
  <c r="N34" i="10" s="1"/>
  <c r="H29" i="8"/>
  <c r="R28" i="6"/>
  <c r="S26" i="6"/>
  <c r="R5" i="8" l="1"/>
  <c r="S31" i="6" l="1"/>
  <c r="T26" i="6"/>
  <c r="U26" i="6"/>
  <c r="Q25" i="6" l="1"/>
  <c r="P25" i="6"/>
  <c r="P24" i="6"/>
  <c r="Q24" i="6" s="1"/>
  <c r="V24" i="6" s="1"/>
  <c r="V26" i="6" s="1"/>
  <c r="P23" i="6"/>
  <c r="Q23" i="6" s="1"/>
  <c r="V23" i="6" s="1"/>
  <c r="P22" i="6"/>
  <c r="Q22" i="6" s="1"/>
  <c r="V22" i="6" s="1"/>
  <c r="Q21" i="6"/>
  <c r="V21" i="6" s="1"/>
  <c r="P21" i="6"/>
  <c r="P20" i="6"/>
  <c r="Q20" i="6" s="1"/>
  <c r="V20" i="6" s="1"/>
  <c r="P19" i="6"/>
  <c r="Q19" i="6" s="1"/>
  <c r="V19" i="6" s="1"/>
  <c r="P18" i="6"/>
  <c r="Q18" i="6" s="1"/>
  <c r="P17" i="6"/>
  <c r="Q17" i="6" s="1"/>
  <c r="V17" i="6" s="1"/>
  <c r="P16" i="6"/>
  <c r="Q16" i="6" s="1"/>
  <c r="T16" i="6" s="1"/>
  <c r="P15" i="6"/>
  <c r="Q15" i="6" s="1"/>
  <c r="S15" i="6" s="1"/>
  <c r="P14" i="6"/>
  <c r="Q14" i="6" s="1"/>
  <c r="S14" i="6" s="1"/>
  <c r="P13" i="6"/>
  <c r="Q13" i="6" s="1"/>
  <c r="U13" i="6" s="1"/>
  <c r="P12" i="6"/>
  <c r="Q12" i="6" s="1"/>
  <c r="V12" i="6" s="1"/>
  <c r="P11" i="6"/>
  <c r="Q11" i="6" s="1"/>
  <c r="V11" i="6" s="1"/>
  <c r="P10" i="6"/>
  <c r="Q10" i="6" s="1"/>
  <c r="T10" i="6" s="1"/>
  <c r="P9" i="6"/>
  <c r="Q9" i="6" s="1"/>
  <c r="S9" i="6" s="1"/>
  <c r="P8" i="6"/>
  <c r="Q8" i="6" s="1"/>
  <c r="V8" i="6" s="1"/>
  <c r="P7" i="6"/>
  <c r="Q7" i="6" s="1"/>
  <c r="V7" i="6" s="1"/>
  <c r="P6" i="6"/>
  <c r="Q6" i="6" s="1"/>
  <c r="V6" i="6" s="1"/>
  <c r="P5" i="6"/>
  <c r="Q5" i="6" s="1"/>
  <c r="T5" i="6" s="1"/>
  <c r="P4" i="6"/>
  <c r="Q4" i="6" s="1"/>
  <c r="U4" i="6" s="1"/>
  <c r="P3" i="6"/>
  <c r="Q3" i="6" s="1"/>
  <c r="V3" i="6" s="1"/>
  <c r="F4" i="5" l="1"/>
  <c r="F5" i="5"/>
  <c r="F6" i="5"/>
  <c r="F7" i="5"/>
  <c r="F18" i="5" s="1"/>
  <c r="F8" i="5"/>
  <c r="F9" i="5"/>
  <c r="F10" i="5"/>
  <c r="F11" i="5"/>
  <c r="F12" i="5"/>
  <c r="F13" i="5"/>
  <c r="F14" i="5"/>
  <c r="F15" i="5"/>
  <c r="F16" i="5"/>
  <c r="F17" i="5"/>
  <c r="F3" i="5"/>
  <c r="C18" i="5"/>
  <c r="F52" i="3" l="1"/>
  <c r="F48" i="3"/>
  <c r="F45" i="3"/>
  <c r="F42" i="3"/>
  <c r="F39" i="3"/>
  <c r="F36" i="3"/>
  <c r="F30" i="3"/>
  <c r="F27" i="3"/>
  <c r="F25" i="3"/>
  <c r="F21" i="3"/>
  <c r="F18" i="3"/>
  <c r="F16" i="3"/>
  <c r="F12" i="3"/>
  <c r="F9" i="3"/>
  <c r="F7" i="3"/>
  <c r="F5" i="3"/>
  <c r="F2" i="3"/>
  <c r="F54" i="3" s="1"/>
  <c r="D48" i="3"/>
  <c r="D42" i="3"/>
  <c r="D39" i="3"/>
  <c r="D9" i="3"/>
  <c r="D7" i="3"/>
  <c r="B53" i="3"/>
  <c r="B52" i="3"/>
  <c r="D52" i="3" s="1"/>
  <c r="B50" i="3"/>
  <c r="B49" i="3"/>
  <c r="B48" i="3"/>
  <c r="B46" i="3"/>
  <c r="B45" i="3"/>
  <c r="D45" i="3" s="1"/>
  <c r="B43" i="3"/>
  <c r="B42" i="3"/>
  <c r="B40" i="3"/>
  <c r="B39" i="3"/>
  <c r="B37" i="3"/>
  <c r="B36" i="3"/>
  <c r="D36" i="3" s="1"/>
  <c r="B34" i="3"/>
  <c r="B33" i="3"/>
  <c r="B32" i="3"/>
  <c r="B31" i="3"/>
  <c r="B30" i="3"/>
  <c r="D30" i="3" s="1"/>
  <c r="B28" i="3"/>
  <c r="D27" i="3" s="1"/>
  <c r="B27" i="3"/>
  <c r="B25" i="3"/>
  <c r="D25" i="3" s="1"/>
  <c r="B22" i="3"/>
  <c r="B23" i="3"/>
  <c r="B21" i="3"/>
  <c r="D21" i="3" s="1"/>
  <c r="B19" i="3"/>
  <c r="B18" i="3"/>
  <c r="D18" i="3" s="1"/>
  <c r="B16" i="3"/>
  <c r="D16" i="3" s="1"/>
  <c r="B13" i="3"/>
  <c r="B14" i="3"/>
  <c r="B12" i="3"/>
  <c r="D12" i="3" s="1"/>
  <c r="B10" i="3"/>
  <c r="B9" i="3"/>
  <c r="B7" i="3"/>
  <c r="B5" i="3"/>
  <c r="D5" i="3" s="1"/>
  <c r="B2" i="3"/>
  <c r="B3" i="3" l="1"/>
  <c r="D2" i="3" s="1"/>
  <c r="D54" i="3" s="1"/>
</calcChain>
</file>

<file path=xl/sharedStrings.xml><?xml version="1.0" encoding="utf-8"?>
<sst xmlns="http://schemas.openxmlformats.org/spreadsheetml/2006/main" count="393" uniqueCount="170">
  <si>
    <t>№
п/п</t>
  </si>
  <si>
    <t>Наименование работ</t>
  </si>
  <si>
    <t>Ед.изм</t>
  </si>
  <si>
    <t>Объем</t>
  </si>
  <si>
    <t>Примечание</t>
  </si>
  <si>
    <t>Поз.</t>
  </si>
  <si>
    <t>Обозначение</t>
  </si>
  <si>
    <t>Наименование</t>
  </si>
  <si>
    <t>Подвал</t>
  </si>
  <si>
    <t>Количество на этаж</t>
  </si>
  <si>
    <t>Всего</t>
  </si>
  <si>
    <t>Ширина</t>
  </si>
  <si>
    <t>Высота</t>
  </si>
  <si>
    <t>Площадь</t>
  </si>
  <si>
    <t>1 эт.</t>
  </si>
  <si>
    <t>2 эт.</t>
  </si>
  <si>
    <t>3 эт.</t>
  </si>
  <si>
    <t>4 эт.</t>
  </si>
  <si>
    <t>ОК-1</t>
  </si>
  <si>
    <t>ГОСТ 23166-2024</t>
  </si>
  <si>
    <t>ОП-2260х2360 ОСП  К</t>
  </si>
  <si>
    <t>ОК-2</t>
  </si>
  <si>
    <t>ОП-2260х1760 ОСП  К</t>
  </si>
  <si>
    <t>ОК-3</t>
  </si>
  <si>
    <t>ОП-2260х860 ОСП  ПР</t>
  </si>
  <si>
    <t>ОК-4</t>
  </si>
  <si>
    <t>ОП-2260х2360 ОСП  Н</t>
  </si>
  <si>
    <t>ОК-5</t>
  </si>
  <si>
    <t>ОП-2260х3260 ОСП  К</t>
  </si>
  <si>
    <t>ОК-6</t>
  </si>
  <si>
    <t>ОП-2260х4160 ОСП  К</t>
  </si>
  <si>
    <t>ОК-7</t>
  </si>
  <si>
    <t>ОП-1160-1160 СП  Н</t>
  </si>
  <si>
    <t>ОК-8</t>
  </si>
  <si>
    <t>ОП-1160х1160 ОСП К</t>
  </si>
  <si>
    <t>ОК-9</t>
  </si>
  <si>
    <t>ОП-2260х4860 ОСП  К</t>
  </si>
  <si>
    <t>ОК-10</t>
  </si>
  <si>
    <t>ОП-2260х4060 ОСП  К</t>
  </si>
  <si>
    <t>ОК-11</t>
  </si>
  <si>
    <t>ОП-1940х1720 ОСП  К</t>
  </si>
  <si>
    <t>ОК-12</t>
  </si>
  <si>
    <t>Индивид. изготовления по ГОСТ 30674-2023</t>
  </si>
  <si>
    <t>ОП-560х1460 СП Н</t>
  </si>
  <si>
    <t>ОК-12.1</t>
  </si>
  <si>
    <t>ОП-560х1060 СП Н</t>
  </si>
  <si>
    <t>ОК-13</t>
  </si>
  <si>
    <t>ОП-1160х1160 ОСП  ПОТ</t>
  </si>
  <si>
    <t>ОК-14</t>
  </si>
  <si>
    <t>ОП-2260х5560 ОСП  К</t>
  </si>
  <si>
    <t>ОК-15</t>
  </si>
  <si>
    <t>Окно противопожарное алюминиевое</t>
  </si>
  <si>
    <t>ОПА 1160-2960 СП ЕI 30</t>
  </si>
  <si>
    <t>ОК-16</t>
  </si>
  <si>
    <t>ОП-1940х3080 ОСП  К</t>
  </si>
  <si>
    <t>ОК-17</t>
  </si>
  <si>
    <t>ОП-1160-2960 ОСП  К</t>
  </si>
  <si>
    <t>ОК-18</t>
  </si>
  <si>
    <t>ОП-830х3080 ОСП  К</t>
  </si>
  <si>
    <t>ОК-19</t>
  </si>
  <si>
    <t>ОП-2260х2660 ОСП  К</t>
  </si>
  <si>
    <t>ОК-20</t>
  </si>
  <si>
    <t>ОП-1540-2140 СП К</t>
  </si>
  <si>
    <t>ОК-21</t>
  </si>
  <si>
    <t>ОП-1940х2440 ОСП  К</t>
  </si>
  <si>
    <t>ОК-23</t>
  </si>
  <si>
    <t>560-1460 ЕI 30</t>
  </si>
  <si>
    <t>глухое</t>
  </si>
  <si>
    <t>поворотное</t>
  </si>
  <si>
    <t>м2</t>
  </si>
  <si>
    <t>ОК-7 ОП-1160-1160 СП  Н (одностворчатое, глухое, без фрамуги)</t>
  </si>
  <si>
    <t>ОК-20 ОП-1540-2140 СП К (трехстворчатое, поворотное, без фрамуги)</t>
  </si>
  <si>
    <t>пог.м</t>
  </si>
  <si>
    <t>Кол-во</t>
  </si>
  <si>
    <t>шт</t>
  </si>
  <si>
    <t>сетка уточнение</t>
  </si>
  <si>
    <t>уточнить</t>
  </si>
  <si>
    <t>кол-во створок для замков</t>
  </si>
  <si>
    <t/>
  </si>
  <si>
    <t>глухие до 2м2</t>
  </si>
  <si>
    <t>двустворчатые до 2 м2</t>
  </si>
  <si>
    <t>двустворчатые более 2 м2</t>
  </si>
  <si>
    <t>более 2м2 трехстворчатые</t>
  </si>
  <si>
    <t>Индекс звукоизоляции 48дБ, EI 30, см. прим. п.4</t>
  </si>
  <si>
    <t>Индекс звукоизоляции 48дБ, EI 30</t>
  </si>
  <si>
    <t>ОП-1940х2360 ОСП  К</t>
  </si>
  <si>
    <t>Установка оконных блоков из ПВХ профилей: глухих с площадью проема до 2м2 одностворчатых</t>
  </si>
  <si>
    <t>Установка оконных блоков из ПВХ профилей : глухих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</si>
  <si>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до 2 м2 одностворчатых</t>
  </si>
  <si>
    <t>Установка оконных блоков из ПВХ профилей: поворотных (откидных, поворотно-откидных) с площадью проема до 2 м2 двустворчатых</t>
  </si>
  <si>
    <t>Установка оконных блоков из ПВХ профилей: поворотных (откидных, поворотно-откидных) с площадью проема более 2м2 двустворчатых</t>
  </si>
  <si>
    <t>Установка оконных блоков из ПВХ профилей: поворотных (откидных, поворотно-откидных)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</si>
  <si>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более 2м2 четырехстворчатых</t>
  </si>
  <si>
    <t>Установка оконных блоков из ПВХ профилей: поворотных (откидных, поворотно-откидных) с площадью проема более 2м2 пятистворчатых</t>
  </si>
  <si>
    <t>Установка оконных блоков из ПВХ профилей: поворотных (откидных, поворотно-откидных) с площадью проема более 2м2 шестистворчатых</t>
  </si>
  <si>
    <t>Установка оконных блоков из ПВХ профилей: поворотных (откидных, поворотно-откидных) с площадью проема более 2м2 семистворчатых</t>
  </si>
  <si>
    <r>
      <t xml:space="preserve">Оконные блоки противопожарные алюминиевые 
</t>
    </r>
    <r>
      <rPr>
        <sz val="14"/>
        <color theme="1"/>
        <rFont val="Times New Roman"/>
        <family val="1"/>
        <charset val="204"/>
      </rPr>
      <t>(л.32, л.36)</t>
    </r>
  </si>
  <si>
    <t>+</t>
  </si>
  <si>
    <t>шт.</t>
  </si>
  <si>
    <t>800х1760</t>
  </si>
  <si>
    <t>710х1540
720х1540</t>
  </si>
  <si>
    <t>сетка</t>
  </si>
  <si>
    <t>795х1760</t>
  </si>
  <si>
    <t>ОК-12 ОП-560х1460 СП Н (одностворчатое, глухое, без фрамуги, индивидуальное изготовление - однокамерное остекление) 
Внутренние противопожарные окна El30,  индекс звукоизоляции 48дБ</t>
  </si>
  <si>
    <t>ОК-12.1 ОП-560х1060 СП Н (одностворчатое, глухое, без фрамуги, индивидуальное изготовление-однокамерное остекление)
Внутренние противопожарные окна El30,  индекс звукоизоляции 48дБ</t>
  </si>
  <si>
    <t>ОК-23 560-1460 ЕI 30 (одностворчатое, глухое, без фрамуги)
Внутренние противопожарные окна El30,  индекс звукоизоляции 48дБ</t>
  </si>
  <si>
    <t xml:space="preserve"> </t>
  </si>
  <si>
    <t>Объект образования (общеобразовательная школа на 1100 мест) по ул.Спортивная в Ленинском районе г.Новосибирска</t>
  </si>
  <si>
    <t>Рабочая документация шифр 7019-АР (предварительная выдача)</t>
  </si>
  <si>
    <t>Марка</t>
  </si>
  <si>
    <t>ИТОГО</t>
  </si>
  <si>
    <t xml:space="preserve">Площадь окна, м2 </t>
  </si>
  <si>
    <t xml:space="preserve">Площадь всего, м2 </t>
  </si>
  <si>
    <t xml:space="preserve">Спецификация окон </t>
  </si>
  <si>
    <t>одност</t>
  </si>
  <si>
    <t>двуст</t>
  </si>
  <si>
    <t>трехст</t>
  </si>
  <si>
    <t>четырехст</t>
  </si>
  <si>
    <t>пятист</t>
  </si>
  <si>
    <t>шестист</t>
  </si>
  <si>
    <t>семист</t>
  </si>
  <si>
    <t>итог</t>
  </si>
  <si>
    <t>площадь,м2</t>
  </si>
  <si>
    <r>
      <t xml:space="preserve">Оконные блоки из ПВХ по ГОСТ 23166-2024, ГОСТ 30674-2023 (оконные блоки пятикамерного профиля с двухкамерным стеклопакетом)
</t>
    </r>
    <r>
      <rPr>
        <sz val="14"/>
        <color theme="1"/>
        <rFont val="Times New Roman"/>
        <family val="1"/>
        <charset val="204"/>
      </rPr>
      <t>(л.32, л.36)</t>
    </r>
  </si>
  <si>
    <t>ОК-3 ОП-2260-860 СП  ПР (одностворчатое, поворотное, с фрамугой)</t>
  </si>
  <si>
    <t>ОК-4 ОП-2260х2360 СП  Н (трехстворчатое, глухое, с глухой фрамугой)</t>
  </si>
  <si>
    <t>ОК-8 ОП-1160х1160 СП К (двустворчатое, поворотно-откидное, без фрамуги)</t>
  </si>
  <si>
    <t>ОК-13 ОП-1160х1160 СП  ПОТ (двустворчатое, поворотно-откидное, без фрамуги)</t>
  </si>
  <si>
    <t>ОК-2 ОП-2260х1760 СП  К (двустворчатое, поворотно-откидное, с глухой фрамугой)</t>
  </si>
  <si>
    <t>ОК-11 ОП-1940х1720 СП  К (двустворчатое, поворотно-откидное, без фрамуги)</t>
  </si>
  <si>
    <t>ОК-1 ОП-2260х2360 СП  К (трехстворчатое, поворотно-откидное, с глухой фрамугой)</t>
  </si>
  <si>
    <t>ОК-17 ОП-1160-2960 СП  К (трехстворчатое, поворотно-откидное, без фрамуги)</t>
  </si>
  <si>
    <t>ОК-19 ОП-2260х2660 СП  К (трехстворчатое, поворотно-откидное, с глухой фрамугой)</t>
  </si>
  <si>
    <t>ОК-21 ОП-1940х2360 СП  К (трехстворчатое, поворотно-откидное, без фрамуги)</t>
  </si>
  <si>
    <t>ОК-5 ОП-2260х3260 СП  К (четырехстворчатое, поворотно-откидное, с глухой фрамугой)</t>
  </si>
  <si>
    <t>ОК-16 ОП-1940х3080 СП  К (четырехстворчатое, поворотно-откидное, с глухой фрамугой)</t>
  </si>
  <si>
    <t>ОК-6 ОП-2260-4160 СП  К (пятистворчатое, поворотно-откидное, с глухой фрамугой)</t>
  </si>
  <si>
    <t>ОК-10 ОП-2260-4060 СП  К (пятистворчатое, поворотно-откидное, с глухой фрамугой)</t>
  </si>
  <si>
    <t>ОК-9 ОП-2260х4860 СП  К (шестистворчатые, поворотное, с глухой фрамугой)</t>
  </si>
  <si>
    <t>ОК-14 ОП-2260-5560 СП  К  (семистворчатые, поворотно-откидное, поворотное,  с глухой фрамугой)</t>
  </si>
  <si>
    <t xml:space="preserve">подоконники </t>
  </si>
  <si>
    <t xml:space="preserve">ОК-1 </t>
  </si>
  <si>
    <t>ОК-22</t>
  </si>
  <si>
    <t>Установка оконных блоков из алюминиевых профилей: поворотных (откидных, поворотно-откидных) с площадью проема более 2м2 двустворчатых</t>
  </si>
  <si>
    <t>ОК-15 ОП-1160-2960 СП ЕI 30 (двустворчатое, глухое, без фрамуги, противопожарное, внутренние окна)</t>
  </si>
  <si>
    <r>
      <t xml:space="preserve">Установка подоконных досок из ПВХ 
</t>
    </r>
    <r>
      <rPr>
        <sz val="14"/>
        <color theme="1"/>
        <rFont val="Times New Roman"/>
        <family val="1"/>
        <charset val="204"/>
      </rPr>
      <t>(л.32, л.36)</t>
    </r>
  </si>
  <si>
    <t>560-1060 ЕI 30</t>
  </si>
  <si>
    <t>Установка оконных блоков из алюминиевых профилей: поворотных (откидных, поворотно-откидных) с площадью проема до 2м2 одностворчатых</t>
  </si>
  <si>
    <t xml:space="preserve">30 см выступ </t>
  </si>
  <si>
    <t xml:space="preserve">50 см уши </t>
  </si>
  <si>
    <t>20х2500х</t>
  </si>
  <si>
    <t>ПД ПВХ 20х140х1900 (ОК-2)</t>
  </si>
  <si>
    <t>ПД ПВХ 20х140х1000 (ОК-3)</t>
  </si>
  <si>
    <t>ПД ПВХ 20х140х3400 (ОК-5)</t>
  </si>
  <si>
    <t>ПД ПВХ 20х140х4300 (ОК-6)</t>
  </si>
  <si>
    <t>ПД ПВХ 20х140х5000 (ОК-9)</t>
  </si>
  <si>
    <t>ПД ПВХ 20х140х4200 (ОК-10)</t>
  </si>
  <si>
    <t>ПД ПВХ 20х140х1860 (ОК-11)</t>
  </si>
  <si>
    <t>ПД ПВХ 20х140х5700 (ОК-14)</t>
  </si>
  <si>
    <t>ПД ПВХ 20х140х3100 (ОК-17)</t>
  </si>
  <si>
    <t>ПД ПВХ 20х140х2800 (ОК-19)</t>
  </si>
  <si>
    <t>ПД ПВХ 20х140х2280 (ОК-20)</t>
  </si>
  <si>
    <t>ПД ПВХ 20х140х2500 (ОК-1 ОК-4, ОК-21)</t>
  </si>
  <si>
    <t>ПД ПВХ 20х140х1300 (ОК-7, ОК-8, ОК-13)</t>
  </si>
  <si>
    <t>ПД ПВХ 20х140х3220 (ОК-16, ОК-18)</t>
  </si>
  <si>
    <t>Установка подоконных досок из ПВХ</t>
  </si>
  <si>
    <t>подоконная достка шириной 150 мм</t>
  </si>
  <si>
    <t>20х140х2500</t>
  </si>
  <si>
    <t xml:space="preserve">Оконные блоки из ПВХ пятикамерного профиля с двухкамерным стеклопакетом по ГОСТ 23166-2024, ГОСТ 30674-203 (привиденное сопрортивление теплопередаче 0,74 м2 С/Вт). Стеклопакеты предусмотреть энергосберегающими, с теплоотражающим покрытием, с применением закаленного стекла толщ. 6 мм снаружи. На всех окнах , кроме помещений пищеблока и административных помещений предусмотреть замки для обеспечения безопасности детей, предназначенные для блокировки распашного открывания створки, но позволяющие ей функционировать в откидном положении. </t>
  </si>
  <si>
    <t>Ведомость объёмов работ от №7 от 01.04.2026г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</si>
</sst>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&quot; шт&quot;"/>
    <numFmt numFmtId="166" formatCode="0.00&quot; м2/шт&quot;"/>
    <numFmt numFmtId="167" formatCode=";;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.5"/>
      <color rgb="FFFF0000"/>
      <name val="Times New Roman"/>
      <family val="1"/>
      <charset val="204"/>
    </font>
    <font>
      <sz val="12.5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3" borderId="0" xfId="0" applyFont="1" applyFill="1"/>
    <xf numFmtId="0" fontId="4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5" borderId="0" xfId="0" applyFont="1" applyFill="1"/>
    <xf numFmtId="0" fontId="0" fillId="3" borderId="2" xfId="0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2" fontId="2" fillId="0" borderId="0" xfId="0" applyNumberFormat="1" applyFont="1" applyFill="1" applyAlignment="1" applyProtection="1">
      <alignment horizontal="center" vertical="center"/>
    </xf>
    <xf numFmtId="2" fontId="2" fillId="0" borderId="0" xfId="0" applyNumberFormat="1" applyFont="1" applyFill="1" applyAlignment="1" applyProtection="1">
      <alignment horizontal="center" vertical="center" wrapText="1"/>
    </xf>
    <xf numFmtId="2" fontId="4" fillId="0" borderId="0" xfId="0" applyNumberFormat="1" applyFont="1" applyFill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10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2" fontId="10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1" fontId="9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/>
    <xf numFmtId="0" fontId="10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167" fontId="15" fillId="0" borderId="0" xfId="0" applyNumberFormat="1" applyFont="1" applyFill="1" applyAlignment="1" applyProtection="1">
      <alignment horizontal="center" vertical="center"/>
    </xf>
    <xf numFmtId="167" fontId="15" fillId="0" borderId="0" xfId="0" applyNumberFormat="1" applyFont="1" applyFill="1" applyAlignment="1" applyProtection="1">
      <alignment horizontal="center" vertical="center" wrapText="1"/>
    </xf>
    <xf numFmtId="167" fontId="16" fillId="0" borderId="0" xfId="0" applyNumberFormat="1" applyFont="1" applyFill="1" applyAlignment="1" applyProtection="1">
      <alignment horizontal="center" vertical="center"/>
    </xf>
    <xf numFmtId="167" fontId="16" fillId="0" borderId="0" xfId="0" applyNumberFormat="1" applyFont="1" applyFill="1" applyBorder="1" applyAlignment="1" applyProtection="1">
      <alignment horizontal="left" vertical="center"/>
    </xf>
    <xf numFmtId="167" fontId="16" fillId="0" borderId="0" xfId="0" applyNumberFormat="1" applyFont="1" applyFill="1" applyBorder="1" applyAlignment="1" applyProtection="1">
      <alignment horizontal="center" vertical="center"/>
    </xf>
    <xf numFmtId="2" fontId="17" fillId="0" borderId="0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167" fontId="19" fillId="0" borderId="0" xfId="0" applyNumberFormat="1" applyFont="1" applyFill="1" applyBorder="1" applyAlignment="1" applyProtection="1">
      <alignment horizontal="left" vertical="center" wrapText="1"/>
    </xf>
    <xf numFmtId="167" fontId="20" fillId="0" borderId="0" xfId="0" applyNumberFormat="1" applyFont="1" applyFill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4" fillId="0" borderId="1" xfId="0" applyFont="1" applyBorder="1"/>
    <xf numFmtId="0" fontId="0" fillId="3" borderId="0" xfId="0" applyFill="1"/>
    <xf numFmtId="0" fontId="0" fillId="2" borderId="0" xfId="0" applyFill="1"/>
    <xf numFmtId="0" fontId="0" fillId="6" borderId="0" xfId="0" applyFill="1"/>
    <xf numFmtId="0" fontId="0" fillId="7" borderId="0" xfId="0" applyFill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0" fillId="0" borderId="0" xfId="0" applyFill="1"/>
    <xf numFmtId="0" fontId="22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left" vertical="center"/>
    </xf>
    <xf numFmtId="0" fontId="22" fillId="11" borderId="1" xfId="0" applyFont="1" applyFill="1" applyBorder="1" applyAlignment="1">
      <alignment horizontal="left" vertical="center"/>
    </xf>
    <xf numFmtId="0" fontId="22" fillId="11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</xf>
    <xf numFmtId="2" fontId="22" fillId="6" borderId="1" xfId="0" applyNumberFormat="1" applyFont="1" applyFill="1" applyBorder="1"/>
    <xf numFmtId="2" fontId="22" fillId="2" borderId="1" xfId="0" applyNumberFormat="1" applyFont="1" applyFill="1" applyBorder="1"/>
    <xf numFmtId="2" fontId="22" fillId="3" borderId="1" xfId="0" applyNumberFormat="1" applyFont="1" applyFill="1" applyBorder="1"/>
    <xf numFmtId="2" fontId="22" fillId="7" borderId="1" xfId="0" applyNumberFormat="1" applyFont="1" applyFill="1" applyBorder="1"/>
    <xf numFmtId="2" fontId="22" fillId="10" borderId="1" xfId="0" applyNumberFormat="1" applyFont="1" applyFill="1" applyBorder="1"/>
    <xf numFmtId="2" fontId="22" fillId="11" borderId="1" xfId="0" applyNumberFormat="1" applyFont="1" applyFill="1" applyBorder="1"/>
    <xf numFmtId="2" fontId="22" fillId="9" borderId="1" xfId="0" applyNumberFormat="1" applyFont="1" applyFill="1" applyBorder="1"/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/>
    </xf>
    <xf numFmtId="0" fontId="28" fillId="0" borderId="0" xfId="0" applyFont="1" applyProtection="1"/>
    <xf numFmtId="0" fontId="4" fillId="0" borderId="11" xfId="0" applyFont="1" applyBorder="1" applyAlignment="1" applyProtection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2" fontId="25" fillId="3" borderId="1" xfId="0" applyNumberFormat="1" applyFont="1" applyFill="1" applyBorder="1"/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center" vertical="center"/>
    </xf>
    <xf numFmtId="2" fontId="9" fillId="0" borderId="8" xfId="0" applyNumberFormat="1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10" fillId="0" borderId="18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 wrapText="1"/>
    </xf>
    <xf numFmtId="0" fontId="2" fillId="2" borderId="20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 wrapText="1"/>
    </xf>
    <xf numFmtId="0" fontId="2" fillId="2" borderId="19" xfId="0" applyFont="1" applyFill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/>
    </xf>
    <xf numFmtId="2" fontId="4" fillId="0" borderId="5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FFB9"/>
      <color rgb="FFC5C5FF"/>
      <color rgb="FFBDF2FF"/>
      <color rgb="FFFFC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72117</xdr:rowOff>
    </xdr:from>
    <xdr:to>
      <xdr:col>40</xdr:col>
      <xdr:colOff>299900</xdr:colOff>
      <xdr:row>53</xdr:row>
      <xdr:rowOff>108856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4796"/>
          <a:ext cx="11321686" cy="5370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3"/>
  <sheetViews>
    <sheetView tabSelected="1" zoomScale="80" zoomScaleNormal="80" workbookViewId="0">
      <selection activeCell="I31" sqref="I31"/>
    </sheetView>
  </sheetViews>
  <sheetFormatPr defaultRowHeight="15.75" x14ac:dyDescent="0.25"/>
  <cols>
    <col min="1" max="1" width="4.5703125" style="56" customWidth="1"/>
    <col min="2" max="2" width="8.42578125" style="56" customWidth="1"/>
    <col min="3" max="3" width="81" style="56" customWidth="1"/>
    <col min="4" max="4" width="9.140625" style="56"/>
    <col min="5" max="5" width="12.7109375" style="120" customWidth="1"/>
    <col min="6" max="6" width="98.28515625" style="56" customWidth="1"/>
    <col min="7" max="7" width="9" style="66" customWidth="1"/>
    <col min="8" max="8" width="13.7109375" style="117" customWidth="1"/>
    <col min="9" max="9" width="22.42578125" style="39" customWidth="1"/>
    <col min="10" max="10" width="11.85546875" style="39" hidden="1" customWidth="1"/>
    <col min="11" max="11" width="23.140625" style="39" customWidth="1"/>
    <col min="12" max="12" width="11.5703125" style="39" hidden="1" customWidth="1"/>
    <col min="13" max="13" width="7.140625" style="39" hidden="1" customWidth="1"/>
    <col min="14" max="14" width="9.140625" style="39" hidden="1" customWidth="1"/>
    <col min="15" max="16" width="12.5703125" style="69" customWidth="1"/>
    <col min="17" max="18" width="11.5703125" style="69" customWidth="1"/>
    <col min="19" max="19" width="13.28515625" style="69" customWidth="1"/>
    <col min="20" max="20" width="18.5703125" style="47" customWidth="1"/>
    <col min="21" max="21" width="9.140625" style="55"/>
    <col min="22" max="16384" width="9.140625" style="56"/>
  </cols>
  <sheetData>
    <row r="1" spans="2:21" s="45" customFormat="1" ht="21.75" customHeight="1" x14ac:dyDescent="0.25">
      <c r="B1" s="178" t="s">
        <v>169</v>
      </c>
      <c r="C1" s="178"/>
      <c r="D1" s="178"/>
      <c r="E1" s="178"/>
      <c r="F1" s="178"/>
      <c r="G1" s="178"/>
      <c r="H1" s="178"/>
      <c r="I1" s="37"/>
      <c r="J1" s="37"/>
      <c r="K1" s="37"/>
      <c r="L1" s="37"/>
      <c r="M1" s="37"/>
      <c r="N1" s="37"/>
      <c r="O1" s="67"/>
      <c r="P1" s="67"/>
      <c r="Q1" s="67"/>
      <c r="R1" s="67"/>
      <c r="S1" s="67"/>
      <c r="T1" s="43"/>
      <c r="U1" s="44"/>
    </row>
    <row r="2" spans="2:21" s="45" customFormat="1" ht="29.25" customHeight="1" x14ac:dyDescent="0.25">
      <c r="B2" s="179" t="s">
        <v>107</v>
      </c>
      <c r="C2" s="179"/>
      <c r="D2" s="179"/>
      <c r="E2" s="179"/>
      <c r="F2" s="179"/>
      <c r="G2" s="179"/>
      <c r="H2" s="179"/>
      <c r="I2" s="38"/>
      <c r="J2" s="38"/>
      <c r="K2" s="38"/>
      <c r="L2" s="38"/>
      <c r="M2" s="38"/>
      <c r="N2" s="38"/>
      <c r="O2" s="68"/>
      <c r="P2" s="68"/>
      <c r="Q2" s="68"/>
      <c r="R2" s="68"/>
      <c r="S2" s="68"/>
      <c r="T2" s="46"/>
      <c r="U2" s="44"/>
    </row>
    <row r="3" spans="2:21" s="45" customFormat="1" ht="20.25" customHeight="1" x14ac:dyDescent="0.25">
      <c r="B3" s="180" t="s">
        <v>108</v>
      </c>
      <c r="C3" s="180"/>
      <c r="D3" s="180"/>
      <c r="E3" s="180"/>
      <c r="F3" s="180"/>
      <c r="G3" s="180"/>
      <c r="H3" s="180"/>
      <c r="I3" s="39"/>
      <c r="J3" s="39"/>
      <c r="K3" s="39"/>
      <c r="L3" s="39"/>
      <c r="M3" s="39"/>
      <c r="N3" s="39"/>
      <c r="O3" s="69"/>
      <c r="P3" s="69"/>
      <c r="Q3" s="69"/>
      <c r="R3" s="69"/>
      <c r="S3" s="69"/>
      <c r="T3" s="47"/>
      <c r="U3" s="44"/>
    </row>
    <row r="4" spans="2:21" s="45" customFormat="1" ht="16.5" x14ac:dyDescent="0.25">
      <c r="B4" s="185"/>
      <c r="C4" s="185"/>
      <c r="D4" s="185"/>
      <c r="E4" s="185"/>
      <c r="F4" s="185"/>
      <c r="G4" s="185"/>
      <c r="H4" s="185"/>
      <c r="I4" s="39"/>
      <c r="J4" s="39"/>
      <c r="K4" s="39"/>
      <c r="L4" s="39"/>
      <c r="M4" s="39"/>
      <c r="N4" s="39"/>
      <c r="O4" s="69"/>
      <c r="P4" s="69"/>
      <c r="Q4" s="69"/>
      <c r="R4" s="69"/>
      <c r="S4" s="69"/>
      <c r="T4" s="47"/>
      <c r="U4" s="44"/>
    </row>
    <row r="5" spans="2:21" s="45" customFormat="1" ht="62.25" customHeight="1" thickBot="1" x14ac:dyDescent="0.3">
      <c r="B5" s="181" t="s">
        <v>168</v>
      </c>
      <c r="C5" s="181"/>
      <c r="D5" s="181"/>
      <c r="E5" s="181"/>
      <c r="F5" s="181"/>
      <c r="G5" s="181"/>
      <c r="H5" s="181"/>
      <c r="I5" s="40"/>
      <c r="J5" s="40"/>
      <c r="K5" s="40"/>
      <c r="L5" s="40"/>
      <c r="M5" s="40"/>
      <c r="N5" s="40"/>
      <c r="O5" s="70"/>
      <c r="P5" s="70"/>
      <c r="Q5" s="70"/>
      <c r="R5" s="70"/>
      <c r="S5" s="70"/>
      <c r="T5" s="48"/>
      <c r="U5" s="44"/>
    </row>
    <row r="6" spans="2:21" s="45" customFormat="1" ht="36" customHeight="1" thickTop="1" thickBot="1" x14ac:dyDescent="0.3">
      <c r="B6" s="78" t="s">
        <v>0</v>
      </c>
      <c r="C6" s="81" t="s">
        <v>1</v>
      </c>
      <c r="D6" s="81" t="s">
        <v>2</v>
      </c>
      <c r="E6" s="118" t="s">
        <v>3</v>
      </c>
      <c r="F6" s="182" t="s">
        <v>4</v>
      </c>
      <c r="G6" s="182"/>
      <c r="H6" s="183"/>
      <c r="I6" s="49"/>
      <c r="J6" s="49"/>
      <c r="K6" s="41"/>
      <c r="L6" s="41"/>
      <c r="M6" s="184" t="s">
        <v>101</v>
      </c>
      <c r="N6" s="184"/>
      <c r="O6" s="71"/>
      <c r="P6" s="71" t="s">
        <v>106</v>
      </c>
      <c r="Q6" s="71"/>
      <c r="R6" s="71"/>
      <c r="S6" s="71"/>
      <c r="T6" s="50"/>
      <c r="U6" s="44"/>
    </row>
    <row r="7" spans="2:21" s="45" customFormat="1" ht="47.25" customHeight="1" thickTop="1" thickBot="1" x14ac:dyDescent="0.3">
      <c r="B7" s="186" t="s">
        <v>123</v>
      </c>
      <c r="C7" s="187"/>
      <c r="D7" s="187"/>
      <c r="E7" s="187"/>
      <c r="F7" s="187"/>
      <c r="G7" s="187"/>
      <c r="H7" s="188"/>
      <c r="I7" s="51"/>
      <c r="J7" s="51"/>
      <c r="K7" s="52"/>
      <c r="L7" s="52"/>
      <c r="M7" s="52" t="s">
        <v>98</v>
      </c>
      <c r="N7" s="51" t="s">
        <v>72</v>
      </c>
      <c r="O7" s="72"/>
      <c r="P7" s="72"/>
      <c r="Q7" s="72"/>
      <c r="R7" s="72"/>
      <c r="S7" s="73"/>
      <c r="T7" s="74"/>
      <c r="U7" s="75"/>
    </row>
    <row r="8" spans="2:21" s="45" customFormat="1" ht="19.5" thickTop="1" x14ac:dyDescent="0.25">
      <c r="B8" s="189">
        <v>1</v>
      </c>
      <c r="C8" s="190" t="s">
        <v>86</v>
      </c>
      <c r="D8" s="191" t="s">
        <v>69</v>
      </c>
      <c r="E8" s="192">
        <f>G9*H9+G10*H10+G11*H11</f>
        <v>151.54999999999998</v>
      </c>
      <c r="F8" s="129"/>
      <c r="G8" s="121" t="s">
        <v>74</v>
      </c>
      <c r="H8" s="131" t="s">
        <v>122</v>
      </c>
      <c r="I8" s="51"/>
      <c r="J8" s="51"/>
      <c r="K8" s="52"/>
      <c r="L8" s="52"/>
      <c r="M8" s="52"/>
      <c r="N8" s="51"/>
      <c r="O8" s="72"/>
      <c r="P8" s="72"/>
      <c r="Q8" s="72"/>
      <c r="R8" s="72"/>
      <c r="S8" s="73"/>
      <c r="T8" s="74"/>
      <c r="U8" s="75"/>
    </row>
    <row r="9" spans="2:21" s="45" customFormat="1" x14ac:dyDescent="0.25">
      <c r="B9" s="165"/>
      <c r="C9" s="190"/>
      <c r="D9" s="191"/>
      <c r="E9" s="192"/>
      <c r="F9" s="135" t="s">
        <v>70</v>
      </c>
      <c r="G9" s="121">
        <v>41</v>
      </c>
      <c r="H9" s="131">
        <v>1.35</v>
      </c>
      <c r="I9" s="51"/>
      <c r="J9" s="51"/>
      <c r="K9" s="52"/>
      <c r="L9" s="52"/>
      <c r="M9" s="52"/>
      <c r="N9" s="51"/>
      <c r="O9" s="72"/>
      <c r="P9" s="72"/>
      <c r="Q9" s="72"/>
      <c r="R9" s="72"/>
      <c r="S9" s="73"/>
      <c r="T9" s="74"/>
      <c r="U9" s="75"/>
    </row>
    <row r="10" spans="2:21" s="45" customFormat="1" ht="47.25" x14ac:dyDescent="0.25">
      <c r="B10" s="165"/>
      <c r="C10" s="190"/>
      <c r="D10" s="191"/>
      <c r="E10" s="192"/>
      <c r="F10" s="58" t="s">
        <v>103</v>
      </c>
      <c r="G10" s="159">
        <v>113</v>
      </c>
      <c r="H10" s="130">
        <v>0.82</v>
      </c>
      <c r="I10" s="51">
        <f>SUM(E8:E29)</f>
        <v>1835.396</v>
      </c>
      <c r="J10" s="51"/>
      <c r="K10" s="52"/>
      <c r="L10" s="52"/>
      <c r="M10" s="52"/>
      <c r="N10" s="51"/>
      <c r="O10" s="72"/>
      <c r="P10" s="72"/>
      <c r="Q10" s="72"/>
      <c r="R10" s="72"/>
      <c r="S10" s="73"/>
      <c r="T10" s="74"/>
      <c r="U10" s="75"/>
    </row>
    <row r="11" spans="2:21" s="45" customFormat="1" ht="47.25" x14ac:dyDescent="0.25">
      <c r="B11" s="165"/>
      <c r="C11" s="190"/>
      <c r="D11" s="191"/>
      <c r="E11" s="192"/>
      <c r="F11" s="58" t="s">
        <v>104</v>
      </c>
      <c r="G11" s="159">
        <v>6</v>
      </c>
      <c r="H11" s="130">
        <v>0.59</v>
      </c>
      <c r="I11" s="51"/>
      <c r="J11" s="51"/>
      <c r="K11" s="52"/>
      <c r="L11" s="52"/>
      <c r="M11" s="52"/>
      <c r="N11" s="51"/>
      <c r="O11" s="72"/>
      <c r="P11" s="72"/>
      <c r="Q11" s="72"/>
      <c r="R11" s="72"/>
      <c r="S11" s="73"/>
      <c r="T11" s="74"/>
      <c r="U11" s="75"/>
    </row>
    <row r="12" spans="2:21" ht="42" customHeight="1" x14ac:dyDescent="0.25">
      <c r="B12" s="152">
        <v>2</v>
      </c>
      <c r="C12" s="132" t="s">
        <v>88</v>
      </c>
      <c r="D12" s="133" t="s">
        <v>69</v>
      </c>
      <c r="E12" s="137">
        <f>G12*H12</f>
        <v>69.9696</v>
      </c>
      <c r="F12" s="138" t="s">
        <v>124</v>
      </c>
      <c r="G12" s="136">
        <v>36</v>
      </c>
      <c r="H12" s="137">
        <f>Окна!G7</f>
        <v>1.9436</v>
      </c>
      <c r="I12" s="53"/>
      <c r="J12" s="53"/>
      <c r="K12" s="53"/>
      <c r="L12" s="53"/>
      <c r="M12" s="53"/>
      <c r="N12" s="41"/>
      <c r="O12" s="71"/>
      <c r="P12" s="71"/>
      <c r="Q12" s="71"/>
      <c r="R12" s="71"/>
      <c r="S12" s="71"/>
      <c r="T12" s="54"/>
    </row>
    <row r="13" spans="2:21" ht="31.5" x14ac:dyDescent="0.25">
      <c r="B13" s="80">
        <v>3</v>
      </c>
      <c r="C13" s="132" t="s">
        <v>87</v>
      </c>
      <c r="D13" s="133" t="s">
        <v>69</v>
      </c>
      <c r="E13" s="139">
        <f>G13*H13</f>
        <v>16.000799999999998</v>
      </c>
      <c r="F13" s="135" t="s">
        <v>125</v>
      </c>
      <c r="G13" s="136">
        <v>3</v>
      </c>
      <c r="H13" s="137">
        <f>2.26*2.36</f>
        <v>5.3335999999999988</v>
      </c>
      <c r="I13" s="53"/>
      <c r="J13" s="53"/>
      <c r="K13" s="53"/>
      <c r="L13" s="53"/>
      <c r="M13" s="53"/>
      <c r="N13" s="41"/>
      <c r="O13" s="71"/>
      <c r="P13" s="71"/>
      <c r="Q13" s="71"/>
      <c r="R13" s="71"/>
      <c r="S13" s="71"/>
      <c r="T13" s="54"/>
    </row>
    <row r="14" spans="2:21" ht="15.75" customHeight="1" x14ac:dyDescent="0.25">
      <c r="B14" s="164">
        <v>4</v>
      </c>
      <c r="C14" s="167" t="s">
        <v>89</v>
      </c>
      <c r="D14" s="170" t="s">
        <v>69</v>
      </c>
      <c r="E14" s="173">
        <f>G14*H14+G15*H15</f>
        <v>9.4191999999999982</v>
      </c>
      <c r="F14" s="135" t="s">
        <v>126</v>
      </c>
      <c r="G14" s="136">
        <v>6</v>
      </c>
      <c r="H14" s="137">
        <f>1.16*1.16</f>
        <v>1.3455999999999999</v>
      </c>
      <c r="I14" s="53"/>
      <c r="J14" s="53"/>
      <c r="K14" s="53"/>
      <c r="L14" s="53"/>
      <c r="M14" s="53">
        <f t="shared" ref="M14:M20" si="0">I14*G14</f>
        <v>0</v>
      </c>
      <c r="N14" s="41">
        <f>M14*(0.58*1.16)</f>
        <v>0</v>
      </c>
      <c r="O14" s="71"/>
      <c r="P14" s="71"/>
      <c r="Q14" s="71"/>
      <c r="R14" s="71"/>
      <c r="S14" s="71"/>
      <c r="T14" s="54"/>
    </row>
    <row r="15" spans="2:21" ht="26.25" customHeight="1" x14ac:dyDescent="0.25">
      <c r="B15" s="166"/>
      <c r="C15" s="169"/>
      <c r="D15" s="172"/>
      <c r="E15" s="175"/>
      <c r="F15" s="132" t="s">
        <v>127</v>
      </c>
      <c r="G15" s="136">
        <v>1</v>
      </c>
      <c r="H15" s="137">
        <f>1.16*1.16</f>
        <v>1.3455999999999999</v>
      </c>
      <c r="I15" s="53"/>
      <c r="J15" s="53"/>
      <c r="K15" s="53"/>
      <c r="L15" s="53"/>
      <c r="M15" s="53">
        <f t="shared" si="0"/>
        <v>0</v>
      </c>
      <c r="N15" s="41">
        <f>M15*(0.58*1.16)</f>
        <v>0</v>
      </c>
      <c r="O15" s="71"/>
      <c r="P15" s="71"/>
      <c r="Q15" s="71"/>
      <c r="R15" s="71"/>
      <c r="S15" s="71"/>
      <c r="T15" s="54"/>
    </row>
    <row r="16" spans="2:21" ht="18.75" customHeight="1" x14ac:dyDescent="0.25">
      <c r="B16" s="164">
        <v>5</v>
      </c>
      <c r="C16" s="167" t="s">
        <v>90</v>
      </c>
      <c r="D16" s="170" t="s">
        <v>69</v>
      </c>
      <c r="E16" s="173">
        <f>G16*H16+G17*H17</f>
        <v>309.87759999999997</v>
      </c>
      <c r="F16" s="135" t="s">
        <v>128</v>
      </c>
      <c r="G16" s="136">
        <v>67</v>
      </c>
      <c r="H16" s="137">
        <f>2.26*1.76</f>
        <v>3.9775999999999998</v>
      </c>
      <c r="I16" s="59"/>
      <c r="J16" s="59"/>
      <c r="K16" s="59"/>
      <c r="L16" s="59"/>
      <c r="M16" s="59">
        <f t="shared" si="0"/>
        <v>0</v>
      </c>
      <c r="N16" s="41">
        <f>M16*(0.88*1.76)</f>
        <v>0</v>
      </c>
      <c r="O16" s="71"/>
      <c r="P16" s="71"/>
      <c r="Q16" s="71"/>
      <c r="R16" s="71"/>
      <c r="S16" s="71"/>
      <c r="T16" s="54"/>
    </row>
    <row r="17" spans="2:20" s="55" customFormat="1" x14ac:dyDescent="0.25">
      <c r="B17" s="166"/>
      <c r="C17" s="169"/>
      <c r="D17" s="172"/>
      <c r="E17" s="175"/>
      <c r="F17" s="135" t="s">
        <v>129</v>
      </c>
      <c r="G17" s="136">
        <v>13</v>
      </c>
      <c r="H17" s="137">
        <f>1.94*1.72</f>
        <v>3.3367999999999998</v>
      </c>
      <c r="I17" s="53"/>
      <c r="J17" s="53"/>
      <c r="K17" s="53"/>
      <c r="L17" s="53"/>
      <c r="M17" s="53">
        <f t="shared" si="0"/>
        <v>0</v>
      </c>
      <c r="N17" s="41">
        <f>M17*(0.86*1.94)</f>
        <v>0</v>
      </c>
      <c r="O17" s="71"/>
      <c r="P17" s="71"/>
      <c r="Q17" s="71"/>
      <c r="R17" s="71"/>
      <c r="S17" s="71"/>
      <c r="T17" s="54"/>
    </row>
    <row r="18" spans="2:20" s="55" customFormat="1" ht="18.75" customHeight="1" x14ac:dyDescent="0.25">
      <c r="B18" s="164">
        <v>6</v>
      </c>
      <c r="C18" s="167" t="s">
        <v>91</v>
      </c>
      <c r="D18" s="170" t="s">
        <v>69</v>
      </c>
      <c r="E18" s="173">
        <f>G18*H18+G19*H19+G20*H20+G21*H21+G22*H22</f>
        <v>428.50479999999993</v>
      </c>
      <c r="F18" s="135" t="s">
        <v>130</v>
      </c>
      <c r="G18" s="136">
        <v>71</v>
      </c>
      <c r="H18" s="137">
        <f>2.26*2.36</f>
        <v>5.3335999999999988</v>
      </c>
      <c r="I18" s="53"/>
      <c r="J18" s="53"/>
      <c r="K18" s="53"/>
      <c r="L18" s="53"/>
      <c r="M18" s="53">
        <f t="shared" si="0"/>
        <v>0</v>
      </c>
      <c r="N18" s="41">
        <f>M18*(0.78*1.76)</f>
        <v>0</v>
      </c>
      <c r="O18" s="71"/>
      <c r="P18" s="71"/>
      <c r="Q18" s="71"/>
      <c r="R18" s="71"/>
      <c r="S18" s="71"/>
      <c r="T18" s="54"/>
    </row>
    <row r="19" spans="2:20" s="55" customFormat="1" x14ac:dyDescent="0.25">
      <c r="B19" s="165"/>
      <c r="C19" s="168"/>
      <c r="D19" s="171"/>
      <c r="E19" s="174"/>
      <c r="F19" s="135" t="s">
        <v>131</v>
      </c>
      <c r="G19" s="136">
        <v>1</v>
      </c>
      <c r="H19" s="137">
        <f>1.16*2.96</f>
        <v>3.4335999999999998</v>
      </c>
      <c r="I19" s="53"/>
      <c r="J19" s="60"/>
      <c r="K19" s="53"/>
      <c r="L19" s="53"/>
      <c r="M19" s="53">
        <f t="shared" si="0"/>
        <v>0</v>
      </c>
      <c r="N19" s="41">
        <f>(0.98*1.16)+(0.99*1.16)</f>
        <v>2.2851999999999997</v>
      </c>
      <c r="O19" s="71"/>
      <c r="P19" s="71"/>
      <c r="Q19" s="71"/>
      <c r="R19" s="71"/>
      <c r="S19" s="71"/>
      <c r="T19" s="54"/>
    </row>
    <row r="20" spans="2:20" s="55" customFormat="1" x14ac:dyDescent="0.25">
      <c r="B20" s="165"/>
      <c r="C20" s="168"/>
      <c r="D20" s="171"/>
      <c r="E20" s="174"/>
      <c r="F20" s="135" t="s">
        <v>132</v>
      </c>
      <c r="G20" s="136">
        <v>4</v>
      </c>
      <c r="H20" s="137">
        <f>2.26*2.66</f>
        <v>6.0115999999999996</v>
      </c>
      <c r="I20" s="53"/>
      <c r="J20" s="53"/>
      <c r="K20" s="53"/>
      <c r="L20" s="53"/>
      <c r="M20" s="53">
        <f t="shared" si="0"/>
        <v>0</v>
      </c>
      <c r="N20" s="41">
        <f>M20*(0.89*1.76)</f>
        <v>0</v>
      </c>
      <c r="O20" s="71"/>
      <c r="P20" s="71"/>
      <c r="Q20" s="71"/>
      <c r="R20" s="71"/>
      <c r="S20" s="71"/>
      <c r="T20" s="54"/>
    </row>
    <row r="21" spans="2:20" s="55" customFormat="1" ht="31.5" x14ac:dyDescent="0.25">
      <c r="B21" s="165"/>
      <c r="C21" s="168"/>
      <c r="D21" s="171"/>
      <c r="E21" s="174"/>
      <c r="F21" s="135" t="s">
        <v>71</v>
      </c>
      <c r="G21" s="136">
        <v>4</v>
      </c>
      <c r="H21" s="137">
        <f>1.54*2.14</f>
        <v>3.2956000000000003</v>
      </c>
      <c r="I21" s="53"/>
      <c r="J21" s="53"/>
      <c r="K21" s="53"/>
      <c r="L21" s="60" t="s">
        <v>100</v>
      </c>
      <c r="M21" s="60">
        <f>K21*G21</f>
        <v>0</v>
      </c>
      <c r="N21" s="61">
        <f>(0.71*1.54*2*G21)+(0.72*1.54*1*G21)</f>
        <v>13.182399999999999</v>
      </c>
      <c r="O21" s="71"/>
      <c r="P21" s="71"/>
      <c r="Q21" s="71"/>
      <c r="R21" s="71"/>
      <c r="S21" s="71"/>
      <c r="T21" s="54"/>
    </row>
    <row r="22" spans="2:20" s="55" customFormat="1" x14ac:dyDescent="0.25">
      <c r="B22" s="166"/>
      <c r="C22" s="169"/>
      <c r="D22" s="172"/>
      <c r="E22" s="175"/>
      <c r="F22" s="135" t="s">
        <v>133</v>
      </c>
      <c r="G22" s="136">
        <v>2</v>
      </c>
      <c r="H22" s="137">
        <f>1.94*2.36</f>
        <v>4.5783999999999994</v>
      </c>
      <c r="I22" s="53"/>
      <c r="J22" s="53"/>
      <c r="K22" s="53"/>
      <c r="L22" s="53"/>
      <c r="M22" s="53">
        <f t="shared" ref="M22:M27" si="1">I22*G22</f>
        <v>0</v>
      </c>
      <c r="N22" s="41">
        <f>M22*(0.81*1.94)</f>
        <v>0</v>
      </c>
      <c r="O22" s="71"/>
      <c r="P22" s="71"/>
      <c r="Q22" s="71"/>
      <c r="R22" s="71"/>
      <c r="S22" s="71"/>
      <c r="T22" s="54"/>
    </row>
    <row r="23" spans="2:20" s="55" customFormat="1" ht="15.75" customHeight="1" x14ac:dyDescent="0.25">
      <c r="B23" s="164">
        <v>7</v>
      </c>
      <c r="C23" s="167" t="s">
        <v>92</v>
      </c>
      <c r="D23" s="170" t="s">
        <v>69</v>
      </c>
      <c r="E23" s="173">
        <f>G23*H23+G24*H24+G25*H25</f>
        <v>43.977199999999996</v>
      </c>
      <c r="F23" s="135" t="s">
        <v>134</v>
      </c>
      <c r="G23" s="136">
        <v>4</v>
      </c>
      <c r="H23" s="137">
        <f>2.26*3.26</f>
        <v>7.3675999999999986</v>
      </c>
      <c r="I23" s="53"/>
      <c r="J23" s="53"/>
      <c r="K23" s="53"/>
      <c r="L23" s="53"/>
      <c r="M23" s="53">
        <f t="shared" si="1"/>
        <v>0</v>
      </c>
      <c r="N23" s="41">
        <f>M23*(0.8*1.76)</f>
        <v>0</v>
      </c>
      <c r="O23" s="71"/>
      <c r="P23" s="71"/>
      <c r="Q23" s="71"/>
      <c r="R23" s="71"/>
      <c r="S23" s="71"/>
      <c r="T23" s="54"/>
    </row>
    <row r="24" spans="2:20" s="55" customFormat="1" x14ac:dyDescent="0.25">
      <c r="B24" s="165"/>
      <c r="C24" s="168"/>
      <c r="D24" s="171"/>
      <c r="E24" s="174"/>
      <c r="F24" s="135" t="s">
        <v>135</v>
      </c>
      <c r="G24" s="136">
        <v>2</v>
      </c>
      <c r="H24" s="137">
        <f>1.94*3.08</f>
        <v>5.9752000000000001</v>
      </c>
      <c r="I24" s="53"/>
      <c r="J24" s="53"/>
      <c r="K24" s="53"/>
      <c r="L24" s="53"/>
      <c r="M24" s="53">
        <f t="shared" si="1"/>
        <v>0</v>
      </c>
      <c r="N24" s="41">
        <f>M24*(0.77*1.76)</f>
        <v>0</v>
      </c>
      <c r="O24" s="71"/>
      <c r="P24" s="71"/>
      <c r="Q24" s="71"/>
      <c r="R24" s="71"/>
      <c r="S24" s="71"/>
      <c r="T24" s="54"/>
    </row>
    <row r="25" spans="2:20" s="55" customFormat="1" x14ac:dyDescent="0.25">
      <c r="B25" s="166"/>
      <c r="C25" s="169"/>
      <c r="D25" s="172"/>
      <c r="E25" s="175"/>
      <c r="F25" s="135" t="s">
        <v>106</v>
      </c>
      <c r="G25" s="136">
        <v>1</v>
      </c>
      <c r="H25" s="137">
        <f>0.83*3.08</f>
        <v>2.5564</v>
      </c>
      <c r="I25" s="53"/>
      <c r="J25" s="53"/>
      <c r="K25" s="53"/>
      <c r="L25" s="53"/>
      <c r="M25" s="53">
        <f t="shared" si="1"/>
        <v>0</v>
      </c>
      <c r="N25" s="41">
        <f>M25*(0.77*0.83)</f>
        <v>0</v>
      </c>
      <c r="O25" s="71"/>
      <c r="P25" s="71"/>
      <c r="Q25" s="71"/>
      <c r="R25" s="71"/>
      <c r="S25" s="71"/>
      <c r="T25" s="54"/>
    </row>
    <row r="26" spans="2:20" s="55" customFormat="1" ht="18" customHeight="1" x14ac:dyDescent="0.25">
      <c r="B26" s="166">
        <v>8</v>
      </c>
      <c r="C26" s="167" t="s">
        <v>93</v>
      </c>
      <c r="D26" s="170" t="s">
        <v>69</v>
      </c>
      <c r="E26" s="173">
        <f>G26*H26+G27*H27</f>
        <v>674.20319999999992</v>
      </c>
      <c r="F26" s="135" t="s">
        <v>136</v>
      </c>
      <c r="G26" s="136">
        <v>60</v>
      </c>
      <c r="H26" s="137">
        <f>2.26*4.16</f>
        <v>9.4016000000000002</v>
      </c>
      <c r="I26" s="53"/>
      <c r="J26" s="53"/>
      <c r="K26" s="53"/>
      <c r="L26" s="53"/>
      <c r="M26" s="53">
        <f t="shared" si="1"/>
        <v>0</v>
      </c>
      <c r="N26" s="41">
        <f>M26*(0.83*1.76)</f>
        <v>0</v>
      </c>
      <c r="O26" s="71"/>
      <c r="P26" s="71"/>
      <c r="Q26" s="71"/>
      <c r="R26" s="71"/>
      <c r="S26" s="71"/>
      <c r="T26" s="54"/>
    </row>
    <row r="27" spans="2:20" s="55" customFormat="1" ht="16.5" customHeight="1" x14ac:dyDescent="0.25">
      <c r="B27" s="176"/>
      <c r="C27" s="169"/>
      <c r="D27" s="172"/>
      <c r="E27" s="175"/>
      <c r="F27" s="135" t="s">
        <v>137</v>
      </c>
      <c r="G27" s="136">
        <v>12</v>
      </c>
      <c r="H27" s="137">
        <f>2.26*4.06</f>
        <v>9.1755999999999975</v>
      </c>
      <c r="I27" s="53"/>
      <c r="J27" s="53"/>
      <c r="K27" s="53"/>
      <c r="L27" s="53"/>
      <c r="M27" s="53">
        <f t="shared" si="1"/>
        <v>0</v>
      </c>
      <c r="N27" s="41">
        <f>M27*(0.81*1.76)</f>
        <v>0</v>
      </c>
      <c r="O27" s="71"/>
      <c r="P27" s="71"/>
      <c r="Q27" s="71"/>
      <c r="R27" s="71"/>
      <c r="S27" s="71"/>
      <c r="T27" s="54"/>
    </row>
    <row r="28" spans="2:20" s="55" customFormat="1" ht="33.75" customHeight="1" x14ac:dyDescent="0.25">
      <c r="B28" s="80">
        <v>9</v>
      </c>
      <c r="C28" s="132" t="s">
        <v>94</v>
      </c>
      <c r="D28" s="133" t="s">
        <v>69</v>
      </c>
      <c r="E28" s="139">
        <f>G28*H28</f>
        <v>43.934399999999997</v>
      </c>
      <c r="F28" s="135" t="s">
        <v>138</v>
      </c>
      <c r="G28" s="136">
        <v>4</v>
      </c>
      <c r="H28" s="137">
        <f>2.26*4.86</f>
        <v>10.983599999999999</v>
      </c>
      <c r="I28" s="53"/>
      <c r="J28" s="53"/>
      <c r="K28" s="53"/>
      <c r="L28" s="53" t="s">
        <v>99</v>
      </c>
      <c r="M28" s="53">
        <f>K28*G28</f>
        <v>0</v>
      </c>
      <c r="N28" s="41">
        <f>M28*(0.83*1.76)</f>
        <v>0</v>
      </c>
      <c r="O28" s="71"/>
      <c r="P28" s="71"/>
      <c r="Q28" s="71"/>
      <c r="R28" s="71"/>
      <c r="S28" s="71"/>
      <c r="T28" s="54"/>
    </row>
    <row r="29" spans="2:20" s="55" customFormat="1" ht="35.25" customHeight="1" x14ac:dyDescent="0.25">
      <c r="B29" s="79">
        <v>10</v>
      </c>
      <c r="C29" s="141" t="s">
        <v>95</v>
      </c>
      <c r="D29" s="134" t="s">
        <v>69</v>
      </c>
      <c r="E29" s="140">
        <f>G29*H29</f>
        <v>87.959199999999981</v>
      </c>
      <c r="F29" s="141" t="s">
        <v>139</v>
      </c>
      <c r="G29" s="142">
        <v>7</v>
      </c>
      <c r="H29" s="143">
        <f>2.26*5.56</f>
        <v>12.565599999999998</v>
      </c>
      <c r="I29" s="53"/>
      <c r="J29" s="53"/>
      <c r="K29" s="53"/>
      <c r="L29" s="53" t="s">
        <v>102</v>
      </c>
      <c r="M29" s="53">
        <f>I29*G29+(K29*G29)</f>
        <v>0</v>
      </c>
      <c r="N29" s="41">
        <f>M29*(0.795*1.76)</f>
        <v>0</v>
      </c>
      <c r="O29" s="71"/>
      <c r="P29" s="71"/>
      <c r="Q29" s="71"/>
      <c r="R29" s="71"/>
      <c r="S29" s="71"/>
      <c r="T29" s="54"/>
    </row>
    <row r="30" spans="2:20" s="55" customFormat="1" ht="48" customHeight="1" x14ac:dyDescent="0.25">
      <c r="B30" s="177" t="s">
        <v>96</v>
      </c>
      <c r="C30" s="177"/>
      <c r="D30" s="177"/>
      <c r="E30" s="177"/>
      <c r="F30" s="177"/>
      <c r="G30" s="177"/>
      <c r="H30" s="177"/>
      <c r="I30" s="53"/>
      <c r="J30" s="53"/>
      <c r="K30" s="53"/>
      <c r="L30" s="53"/>
      <c r="M30" s="53">
        <f>SUM(M12:M29)</f>
        <v>0</v>
      </c>
      <c r="N30" s="41">
        <f>SUM(N12:N29)</f>
        <v>15.467599999999999</v>
      </c>
      <c r="O30" s="76"/>
      <c r="P30" s="76"/>
      <c r="Q30" s="76"/>
      <c r="R30" s="76"/>
      <c r="S30" s="76"/>
      <c r="T30" s="62"/>
    </row>
    <row r="31" spans="2:20" s="55" customFormat="1" ht="47.25" x14ac:dyDescent="0.25">
      <c r="B31" s="130">
        <v>11</v>
      </c>
      <c r="C31" s="85" t="s">
        <v>143</v>
      </c>
      <c r="D31" s="130" t="s">
        <v>69</v>
      </c>
      <c r="E31" s="144">
        <f>H31</f>
        <v>3.43</v>
      </c>
      <c r="F31" s="132" t="s">
        <v>144</v>
      </c>
      <c r="G31" s="136">
        <v>1</v>
      </c>
      <c r="H31" s="137">
        <v>3.43</v>
      </c>
      <c r="I31" s="41">
        <f>SUM(E31:E32)</f>
        <v>7.5299999999999994</v>
      </c>
      <c r="J31" s="53"/>
      <c r="K31" s="53"/>
      <c r="L31" s="53"/>
      <c r="M31" s="53"/>
      <c r="N31" s="41"/>
      <c r="O31" s="76"/>
      <c r="P31" s="76"/>
      <c r="Q31" s="76"/>
      <c r="R31" s="76"/>
      <c r="S31" s="76"/>
      <c r="T31" s="62"/>
    </row>
    <row r="32" spans="2:20" s="55" customFormat="1" ht="15.75" customHeight="1" x14ac:dyDescent="0.25">
      <c r="B32" s="155">
        <v>12</v>
      </c>
      <c r="C32" s="160" t="s">
        <v>147</v>
      </c>
      <c r="D32" s="156" t="s">
        <v>69</v>
      </c>
      <c r="E32" s="157">
        <f>G32*H32</f>
        <v>4.0999999999999996</v>
      </c>
      <c r="F32" s="158" t="s">
        <v>105</v>
      </c>
      <c r="G32" s="136">
        <v>5</v>
      </c>
      <c r="H32" s="137">
        <v>0.82</v>
      </c>
      <c r="I32" s="53"/>
      <c r="J32" s="53"/>
      <c r="K32" s="53"/>
      <c r="L32" s="53"/>
      <c r="M32" s="53"/>
      <c r="N32" s="41"/>
      <c r="O32" s="76"/>
      <c r="P32" s="76"/>
      <c r="Q32" s="76"/>
      <c r="R32" s="76"/>
      <c r="S32" s="76"/>
      <c r="T32" s="62"/>
    </row>
    <row r="33" spans="2:21" s="64" customFormat="1" x14ac:dyDescent="0.25">
      <c r="B33" s="161"/>
      <c r="C33" s="162"/>
      <c r="D33" s="162"/>
      <c r="E33" s="162"/>
      <c r="F33" s="162"/>
      <c r="G33" s="162"/>
      <c r="H33" s="163"/>
      <c r="I33" s="41"/>
      <c r="J33" s="41"/>
      <c r="K33" s="41"/>
      <c r="L33" s="41"/>
      <c r="M33" s="41"/>
      <c r="N33" s="41"/>
      <c r="O33" s="71"/>
      <c r="P33" s="71"/>
      <c r="Q33" s="71"/>
      <c r="R33" s="71"/>
      <c r="S33" s="71"/>
      <c r="T33" s="54"/>
      <c r="U33" s="63"/>
    </row>
    <row r="34" spans="2:21" s="55" customFormat="1" ht="48" customHeight="1" x14ac:dyDescent="0.25">
      <c r="B34" s="177" t="s">
        <v>145</v>
      </c>
      <c r="C34" s="177"/>
      <c r="D34" s="177"/>
      <c r="E34" s="177"/>
      <c r="F34" s="177"/>
      <c r="G34" s="177"/>
      <c r="H34" s="177"/>
      <c r="I34" s="53"/>
      <c r="J34" s="53"/>
      <c r="K34" s="53"/>
      <c r="L34" s="53"/>
      <c r="M34" s="53">
        <f>SUM(M17:M33)</f>
        <v>0</v>
      </c>
      <c r="N34" s="41">
        <f>SUM(N17:N33)</f>
        <v>30.935199999999998</v>
      </c>
      <c r="O34" s="76"/>
      <c r="P34" s="76"/>
      <c r="Q34" s="76"/>
      <c r="R34" s="76"/>
      <c r="S34" s="76"/>
      <c r="T34" s="62"/>
    </row>
    <row r="35" spans="2:21" s="150" customFormat="1" ht="18.75" x14ac:dyDescent="0.25">
      <c r="B35" s="149"/>
      <c r="C35" s="149"/>
      <c r="D35" s="149"/>
      <c r="E35" s="149"/>
      <c r="F35" s="149"/>
      <c r="G35" s="130" t="s">
        <v>98</v>
      </c>
      <c r="H35" s="130" t="s">
        <v>72</v>
      </c>
      <c r="I35" s="53"/>
      <c r="J35" s="53"/>
      <c r="K35" s="53"/>
      <c r="L35" s="53"/>
      <c r="M35" s="53"/>
      <c r="N35" s="41"/>
      <c r="O35" s="76"/>
      <c r="P35" s="76"/>
      <c r="Q35" s="76"/>
      <c r="R35" s="76"/>
      <c r="S35" s="76"/>
      <c r="T35" s="62"/>
    </row>
    <row r="36" spans="2:21" x14ac:dyDescent="0.25">
      <c r="B36" s="196">
        <v>13</v>
      </c>
      <c r="C36" s="193" t="s">
        <v>165</v>
      </c>
      <c r="D36" s="202" t="s">
        <v>74</v>
      </c>
      <c r="E36" s="199">
        <f>SUM(G36:G49)</f>
        <v>339</v>
      </c>
      <c r="F36" s="146" t="s">
        <v>162</v>
      </c>
      <c r="G36" s="57">
        <f>71+3+2</f>
        <v>76</v>
      </c>
      <c r="H36" s="119">
        <f>2.5*G36</f>
        <v>190</v>
      </c>
    </row>
    <row r="37" spans="2:21" s="55" customFormat="1" ht="15.75" customHeight="1" x14ac:dyDescent="0.25">
      <c r="B37" s="197"/>
      <c r="C37" s="194"/>
      <c r="D37" s="203"/>
      <c r="E37" s="200"/>
      <c r="F37" s="147" t="s">
        <v>151</v>
      </c>
      <c r="G37" s="145">
        <v>67</v>
      </c>
      <c r="H37" s="119">
        <f>1.9*G37</f>
        <v>127.3</v>
      </c>
      <c r="I37" s="42"/>
      <c r="J37" s="42"/>
      <c r="K37" s="42"/>
      <c r="L37" s="42"/>
      <c r="M37" s="42"/>
      <c r="N37" s="42"/>
      <c r="O37" s="77"/>
      <c r="P37" s="77"/>
      <c r="Q37" s="77"/>
      <c r="R37" s="77"/>
      <c r="S37" s="77"/>
      <c r="T37" s="65"/>
    </row>
    <row r="38" spans="2:21" x14ac:dyDescent="0.25">
      <c r="B38" s="197"/>
      <c r="C38" s="194"/>
      <c r="D38" s="203"/>
      <c r="E38" s="200"/>
      <c r="F38" s="147" t="s">
        <v>152</v>
      </c>
      <c r="G38" s="57">
        <v>36</v>
      </c>
      <c r="H38" s="119">
        <f>G38*1</f>
        <v>36</v>
      </c>
    </row>
    <row r="39" spans="2:21" x14ac:dyDescent="0.25">
      <c r="B39" s="197"/>
      <c r="C39" s="194"/>
      <c r="D39" s="203"/>
      <c r="E39" s="200"/>
      <c r="F39" s="147" t="s">
        <v>153</v>
      </c>
      <c r="G39" s="57">
        <v>4</v>
      </c>
      <c r="H39" s="119">
        <f>G39*3.4</f>
        <v>13.6</v>
      </c>
    </row>
    <row r="40" spans="2:21" x14ac:dyDescent="0.25">
      <c r="B40" s="197"/>
      <c r="C40" s="194"/>
      <c r="D40" s="203"/>
      <c r="E40" s="200"/>
      <c r="F40" s="147" t="s">
        <v>154</v>
      </c>
      <c r="G40" s="57">
        <v>60</v>
      </c>
      <c r="H40" s="119">
        <f>G40*4.3</f>
        <v>258</v>
      </c>
    </row>
    <row r="41" spans="2:21" x14ac:dyDescent="0.25">
      <c r="B41" s="197"/>
      <c r="C41" s="194"/>
      <c r="D41" s="203"/>
      <c r="E41" s="200"/>
      <c r="F41" s="147" t="s">
        <v>163</v>
      </c>
      <c r="G41" s="57">
        <f>41+6+1</f>
        <v>48</v>
      </c>
      <c r="H41" s="119">
        <f>G41*1.3</f>
        <v>62.400000000000006</v>
      </c>
    </row>
    <row r="42" spans="2:21" x14ac:dyDescent="0.25">
      <c r="B42" s="197"/>
      <c r="C42" s="194"/>
      <c r="D42" s="204"/>
      <c r="E42" s="201"/>
      <c r="F42" s="147" t="s">
        <v>155</v>
      </c>
      <c r="G42" s="57">
        <v>4</v>
      </c>
      <c r="H42" s="119">
        <f>G42*5</f>
        <v>20</v>
      </c>
    </row>
    <row r="43" spans="2:21" x14ac:dyDescent="0.25">
      <c r="B43" s="197"/>
      <c r="C43" s="194"/>
      <c r="D43" s="203" t="s">
        <v>72</v>
      </c>
      <c r="E43" s="200">
        <f>SUM(H36:H49)</f>
        <v>854.86</v>
      </c>
      <c r="F43" s="147" t="s">
        <v>156</v>
      </c>
      <c r="G43" s="57">
        <v>12</v>
      </c>
      <c r="H43" s="119">
        <f>G43*4.2</f>
        <v>50.400000000000006</v>
      </c>
    </row>
    <row r="44" spans="2:21" x14ac:dyDescent="0.25">
      <c r="B44" s="197"/>
      <c r="C44" s="194"/>
      <c r="D44" s="203"/>
      <c r="E44" s="200"/>
      <c r="F44" s="147" t="s">
        <v>157</v>
      </c>
      <c r="G44" s="57">
        <v>13</v>
      </c>
      <c r="H44" s="119">
        <f>G44*1.86</f>
        <v>24.18</v>
      </c>
    </row>
    <row r="45" spans="2:21" x14ac:dyDescent="0.25">
      <c r="B45" s="197"/>
      <c r="C45" s="194"/>
      <c r="D45" s="203"/>
      <c r="E45" s="200"/>
      <c r="F45" s="147" t="s">
        <v>158</v>
      </c>
      <c r="G45" s="57">
        <v>7</v>
      </c>
      <c r="H45" s="119">
        <f>G45*5.7</f>
        <v>39.9</v>
      </c>
    </row>
    <row r="46" spans="2:21" x14ac:dyDescent="0.25">
      <c r="B46" s="197"/>
      <c r="C46" s="194"/>
      <c r="D46" s="203"/>
      <c r="E46" s="200"/>
      <c r="F46" s="147" t="s">
        <v>164</v>
      </c>
      <c r="G46" s="57">
        <f>2+1</f>
        <v>3</v>
      </c>
      <c r="H46" s="119">
        <f>G46*3.22</f>
        <v>9.66</v>
      </c>
    </row>
    <row r="47" spans="2:21" x14ac:dyDescent="0.25">
      <c r="B47" s="197"/>
      <c r="C47" s="194"/>
      <c r="D47" s="203"/>
      <c r="E47" s="200"/>
      <c r="F47" s="147" t="s">
        <v>159</v>
      </c>
      <c r="G47" s="57">
        <v>1</v>
      </c>
      <c r="H47" s="119">
        <f>G47*3.1</f>
        <v>3.1</v>
      </c>
    </row>
    <row r="48" spans="2:21" x14ac:dyDescent="0.25">
      <c r="B48" s="197"/>
      <c r="C48" s="194"/>
      <c r="D48" s="203"/>
      <c r="E48" s="200"/>
      <c r="F48" s="147" t="s">
        <v>160</v>
      </c>
      <c r="G48" s="57">
        <v>4</v>
      </c>
      <c r="H48" s="119">
        <f>G48*2.8</f>
        <v>11.2</v>
      </c>
    </row>
    <row r="49" spans="2:8" x14ac:dyDescent="0.25">
      <c r="B49" s="198"/>
      <c r="C49" s="195"/>
      <c r="D49" s="204"/>
      <c r="E49" s="201"/>
      <c r="F49" s="148" t="s">
        <v>161</v>
      </c>
      <c r="G49" s="57">
        <v>4</v>
      </c>
      <c r="H49" s="119">
        <f>G49*2.28</f>
        <v>9.1199999999999992</v>
      </c>
    </row>
    <row r="51" spans="2:8" x14ac:dyDescent="0.25">
      <c r="F51" s="48"/>
    </row>
    <row r="53" spans="2:8" ht="18.75" x14ac:dyDescent="0.3">
      <c r="C53" s="151"/>
    </row>
  </sheetData>
  <mergeCells count="41">
    <mergeCell ref="C36:C49"/>
    <mergeCell ref="B36:B49"/>
    <mergeCell ref="E36:E42"/>
    <mergeCell ref="E43:E49"/>
    <mergeCell ref="D36:D42"/>
    <mergeCell ref="D43:D49"/>
    <mergeCell ref="M6:N6"/>
    <mergeCell ref="B4:H4"/>
    <mergeCell ref="B34:H34"/>
    <mergeCell ref="B14:B15"/>
    <mergeCell ref="C14:C15"/>
    <mergeCell ref="D14:D15"/>
    <mergeCell ref="E14:E15"/>
    <mergeCell ref="B7:H7"/>
    <mergeCell ref="B8:B11"/>
    <mergeCell ref="C8:C11"/>
    <mergeCell ref="D8:D11"/>
    <mergeCell ref="E8:E11"/>
    <mergeCell ref="B16:B17"/>
    <mergeCell ref="C16:C17"/>
    <mergeCell ref="D16:D17"/>
    <mergeCell ref="E16:E17"/>
    <mergeCell ref="B1:H1"/>
    <mergeCell ref="B2:H2"/>
    <mergeCell ref="B3:H3"/>
    <mergeCell ref="B5:H5"/>
    <mergeCell ref="F6:H6"/>
    <mergeCell ref="B18:B22"/>
    <mergeCell ref="C18:C22"/>
    <mergeCell ref="D18:D22"/>
    <mergeCell ref="E18:E22"/>
    <mergeCell ref="B30:H30"/>
    <mergeCell ref="B33:H33"/>
    <mergeCell ref="B23:B25"/>
    <mergeCell ref="C23:C25"/>
    <mergeCell ref="D23:D25"/>
    <mergeCell ref="E23:E25"/>
    <mergeCell ref="B26:B27"/>
    <mergeCell ref="C26:C27"/>
    <mergeCell ref="D26:D27"/>
    <mergeCell ref="E26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topLeftCell="W13" zoomScale="70" zoomScaleNormal="70" workbookViewId="0">
      <selection activeCell="AM15" sqref="AM15"/>
    </sheetView>
  </sheetViews>
  <sheetFormatPr defaultRowHeight="15" x14ac:dyDescent="0.25"/>
  <cols>
    <col min="1" max="1" width="10.5703125" hidden="1" customWidth="1"/>
    <col min="2" max="2" width="37.85546875" hidden="1" customWidth="1"/>
    <col min="3" max="3" width="27.5703125" hidden="1" customWidth="1"/>
    <col min="4" max="8" width="0" hidden="1" customWidth="1"/>
    <col min="9" max="9" width="7.7109375" hidden="1" customWidth="1"/>
    <col min="10" max="13" width="0" hidden="1" customWidth="1"/>
    <col min="14" max="14" width="11.28515625" hidden="1" customWidth="1"/>
    <col min="15" max="15" width="0" hidden="1" customWidth="1"/>
    <col min="16" max="16" width="10.28515625" hidden="1" customWidth="1"/>
    <col min="17" max="18" width="0" hidden="1" customWidth="1"/>
    <col min="19" max="19" width="14.85546875" hidden="1" customWidth="1"/>
    <col min="20" max="21" width="28" hidden="1" customWidth="1"/>
    <col min="22" max="22" width="32.5703125" hidden="1" customWidth="1"/>
  </cols>
  <sheetData>
    <row r="1" spans="1:22" s="1" customFormat="1" ht="15.75" x14ac:dyDescent="0.25">
      <c r="A1" s="21" t="s">
        <v>5</v>
      </c>
      <c r="B1" s="21" t="s">
        <v>6</v>
      </c>
      <c r="C1" s="21" t="s">
        <v>7</v>
      </c>
      <c r="D1" s="21" t="s">
        <v>8</v>
      </c>
      <c r="E1" s="21" t="s">
        <v>9</v>
      </c>
      <c r="F1" s="21" t="s">
        <v>78</v>
      </c>
      <c r="G1" s="21" t="s">
        <v>78</v>
      </c>
      <c r="H1" s="21" t="s">
        <v>78</v>
      </c>
      <c r="I1" s="21" t="s">
        <v>10</v>
      </c>
      <c r="J1" s="21" t="s">
        <v>4</v>
      </c>
      <c r="K1" s="20"/>
      <c r="L1" s="20"/>
      <c r="M1" s="20"/>
      <c r="N1" s="2"/>
      <c r="O1" s="2"/>
      <c r="P1" s="3"/>
    </row>
    <row r="2" spans="1:22" s="1" customFormat="1" ht="15.75" x14ac:dyDescent="0.25">
      <c r="A2" s="21" t="s">
        <v>78</v>
      </c>
      <c r="B2" s="21" t="s">
        <v>78</v>
      </c>
      <c r="C2" s="21" t="s">
        <v>78</v>
      </c>
      <c r="D2" s="21" t="s">
        <v>78</v>
      </c>
      <c r="E2" s="21" t="s">
        <v>14</v>
      </c>
      <c r="F2" s="21" t="s">
        <v>15</v>
      </c>
      <c r="G2" s="21" t="s">
        <v>16</v>
      </c>
      <c r="H2" s="21" t="s">
        <v>17</v>
      </c>
      <c r="I2" s="21" t="s">
        <v>78</v>
      </c>
      <c r="J2" s="21" t="s">
        <v>78</v>
      </c>
      <c r="K2" s="20"/>
      <c r="L2" s="20"/>
      <c r="M2" s="20"/>
      <c r="N2" s="2"/>
      <c r="O2" s="2"/>
      <c r="P2" s="3" t="s">
        <v>13</v>
      </c>
      <c r="S2" s="4" t="s">
        <v>79</v>
      </c>
      <c r="T2" s="22" t="s">
        <v>80</v>
      </c>
      <c r="U2" s="15" t="s">
        <v>81</v>
      </c>
      <c r="V2" s="11" t="s">
        <v>82</v>
      </c>
    </row>
    <row r="3" spans="1:22" s="1" customFormat="1" ht="15.75" x14ac:dyDescent="0.25">
      <c r="A3" s="23" t="s">
        <v>18</v>
      </c>
      <c r="B3" s="23" t="s">
        <v>19</v>
      </c>
      <c r="C3" s="23" t="s">
        <v>20</v>
      </c>
      <c r="D3" s="23">
        <v>0</v>
      </c>
      <c r="E3" s="23">
        <v>13</v>
      </c>
      <c r="F3" s="23">
        <v>22</v>
      </c>
      <c r="G3" s="23">
        <v>17</v>
      </c>
      <c r="H3" s="23">
        <v>19</v>
      </c>
      <c r="I3" s="24">
        <v>71</v>
      </c>
      <c r="J3" s="23" t="s">
        <v>78</v>
      </c>
      <c r="K3" s="8"/>
      <c r="L3" s="8"/>
      <c r="M3" s="8"/>
      <c r="N3" s="9">
        <v>2.2599999999999998</v>
      </c>
      <c r="O3" s="9">
        <v>2.36</v>
      </c>
      <c r="P3" s="10">
        <f>N3*O3</f>
        <v>5.3335999999999988</v>
      </c>
      <c r="Q3" s="11">
        <f>P3*I3</f>
        <v>378.68559999999991</v>
      </c>
      <c r="S3" s="4"/>
      <c r="T3" s="22"/>
      <c r="U3" s="15"/>
      <c r="V3" s="11">
        <f>Q3</f>
        <v>378.68559999999991</v>
      </c>
    </row>
    <row r="4" spans="1:22" s="1" customFormat="1" ht="15.75" x14ac:dyDescent="0.25">
      <c r="A4" s="25" t="s">
        <v>21</v>
      </c>
      <c r="B4" s="25" t="s">
        <v>19</v>
      </c>
      <c r="C4" s="25" t="s">
        <v>22</v>
      </c>
      <c r="D4" s="25">
        <v>0</v>
      </c>
      <c r="E4" s="25">
        <v>16</v>
      </c>
      <c r="F4" s="25">
        <v>19</v>
      </c>
      <c r="G4" s="25">
        <v>18</v>
      </c>
      <c r="H4" s="25">
        <v>14</v>
      </c>
      <c r="I4" s="26">
        <v>67</v>
      </c>
      <c r="J4" s="25" t="s">
        <v>78</v>
      </c>
      <c r="K4" s="12"/>
      <c r="L4" s="12"/>
      <c r="M4" s="12"/>
      <c r="N4" s="13">
        <v>2.2599999999999998</v>
      </c>
      <c r="O4" s="13">
        <v>1.76</v>
      </c>
      <c r="P4" s="14">
        <f t="shared" ref="P4:P25" si="0">N4*O4</f>
        <v>3.9775999999999998</v>
      </c>
      <c r="Q4" s="15">
        <f t="shared" ref="Q4:Q25" si="1">P4*I4</f>
        <v>266.49919999999997</v>
      </c>
      <c r="R4" s="1" t="s">
        <v>97</v>
      </c>
      <c r="S4" s="4"/>
      <c r="T4" s="22"/>
      <c r="U4" s="15">
        <f>Q4</f>
        <v>266.49919999999997</v>
      </c>
      <c r="V4" s="11"/>
    </row>
    <row r="5" spans="1:22" s="1" customFormat="1" ht="15.75" x14ac:dyDescent="0.25">
      <c r="A5" s="27" t="s">
        <v>23</v>
      </c>
      <c r="B5" s="27" t="s">
        <v>19</v>
      </c>
      <c r="C5" s="27" t="s">
        <v>24</v>
      </c>
      <c r="D5" s="27">
        <v>0</v>
      </c>
      <c r="E5" s="27">
        <v>12</v>
      </c>
      <c r="F5" s="27">
        <v>9</v>
      </c>
      <c r="G5" s="27">
        <v>10</v>
      </c>
      <c r="H5" s="27">
        <v>5</v>
      </c>
      <c r="I5" s="28">
        <v>36</v>
      </c>
      <c r="J5" s="27" t="s">
        <v>78</v>
      </c>
      <c r="K5" s="29"/>
      <c r="L5" s="29"/>
      <c r="M5" s="29"/>
      <c r="N5" s="30">
        <v>2.2599999999999998</v>
      </c>
      <c r="O5" s="30">
        <v>0.86</v>
      </c>
      <c r="P5" s="31">
        <f t="shared" si="0"/>
        <v>1.9435999999999998</v>
      </c>
      <c r="Q5" s="22">
        <f t="shared" si="1"/>
        <v>69.969599999999986</v>
      </c>
      <c r="R5" s="1" t="s">
        <v>97</v>
      </c>
      <c r="S5" s="4"/>
      <c r="T5" s="22">
        <f>Q5</f>
        <v>69.969599999999986</v>
      </c>
      <c r="U5" s="15"/>
      <c r="V5" s="11"/>
    </row>
    <row r="6" spans="1:22" s="1" customFormat="1" ht="15.75" x14ac:dyDescent="0.25">
      <c r="A6" s="23" t="s">
        <v>25</v>
      </c>
      <c r="B6" s="23" t="s">
        <v>19</v>
      </c>
      <c r="C6" s="23" t="s">
        <v>26</v>
      </c>
      <c r="D6" s="23">
        <v>0</v>
      </c>
      <c r="E6" s="23">
        <v>0</v>
      </c>
      <c r="F6" s="23">
        <v>0</v>
      </c>
      <c r="G6" s="23">
        <v>3</v>
      </c>
      <c r="H6" s="23">
        <v>0</v>
      </c>
      <c r="I6" s="24">
        <v>3</v>
      </c>
      <c r="J6" s="23" t="s">
        <v>78</v>
      </c>
      <c r="K6" s="8"/>
      <c r="L6" s="8"/>
      <c r="M6" s="8"/>
      <c r="N6" s="9">
        <v>2.2599999999999998</v>
      </c>
      <c r="O6" s="9">
        <v>2.36</v>
      </c>
      <c r="P6" s="10">
        <f t="shared" si="0"/>
        <v>5.3335999999999988</v>
      </c>
      <c r="Q6" s="11">
        <f t="shared" si="1"/>
        <v>16.000799999999998</v>
      </c>
      <c r="S6" s="4"/>
      <c r="T6" s="22"/>
      <c r="U6" s="15"/>
      <c r="V6" s="11">
        <f>Q6</f>
        <v>16.000799999999998</v>
      </c>
    </row>
    <row r="7" spans="1:22" s="1" customFormat="1" ht="15.75" x14ac:dyDescent="0.25">
      <c r="A7" s="23" t="s">
        <v>27</v>
      </c>
      <c r="B7" s="23" t="s">
        <v>19</v>
      </c>
      <c r="C7" s="23" t="s">
        <v>28</v>
      </c>
      <c r="D7" s="23">
        <v>0</v>
      </c>
      <c r="E7" s="23">
        <v>1</v>
      </c>
      <c r="F7" s="23">
        <v>1</v>
      </c>
      <c r="G7" s="23">
        <v>1</v>
      </c>
      <c r="H7" s="23">
        <v>1</v>
      </c>
      <c r="I7" s="24">
        <v>4</v>
      </c>
      <c r="J7" s="23" t="s">
        <v>78</v>
      </c>
      <c r="K7" s="8"/>
      <c r="L7" s="8"/>
      <c r="M7" s="8"/>
      <c r="N7" s="9">
        <v>2.2599999999999998</v>
      </c>
      <c r="O7" s="9">
        <v>3.26</v>
      </c>
      <c r="P7" s="10">
        <f t="shared" si="0"/>
        <v>7.3675999999999986</v>
      </c>
      <c r="Q7" s="11">
        <f t="shared" si="1"/>
        <v>29.470399999999994</v>
      </c>
      <c r="R7" s="1" t="s">
        <v>97</v>
      </c>
      <c r="S7" s="4"/>
      <c r="T7" s="22"/>
      <c r="U7" s="15"/>
      <c r="V7" s="11">
        <f t="shared" ref="V7:V8" si="2">Q7</f>
        <v>29.470399999999994</v>
      </c>
    </row>
    <row r="8" spans="1:22" s="1" customFormat="1" ht="15.75" x14ac:dyDescent="0.25">
      <c r="A8" s="23" t="s">
        <v>29</v>
      </c>
      <c r="B8" s="23" t="s">
        <v>19</v>
      </c>
      <c r="C8" s="23" t="s">
        <v>30</v>
      </c>
      <c r="D8" s="23">
        <v>0</v>
      </c>
      <c r="E8" s="23">
        <v>14</v>
      </c>
      <c r="F8" s="23">
        <v>15</v>
      </c>
      <c r="G8" s="23">
        <v>17</v>
      </c>
      <c r="H8" s="23">
        <v>14</v>
      </c>
      <c r="I8" s="24">
        <v>60</v>
      </c>
      <c r="J8" s="23" t="s">
        <v>78</v>
      </c>
      <c r="K8" s="8"/>
      <c r="L8" s="8"/>
      <c r="M8" s="8"/>
      <c r="N8" s="9">
        <v>2.2599999999999998</v>
      </c>
      <c r="O8" s="9">
        <v>4.16</v>
      </c>
      <c r="P8" s="10">
        <f t="shared" si="0"/>
        <v>9.4016000000000002</v>
      </c>
      <c r="Q8" s="11">
        <f t="shared" si="1"/>
        <v>564.096</v>
      </c>
      <c r="R8" s="1" t="s">
        <v>97</v>
      </c>
      <c r="S8" s="4"/>
      <c r="T8" s="22"/>
      <c r="U8" s="15"/>
      <c r="V8" s="11">
        <f t="shared" si="2"/>
        <v>564.096</v>
      </c>
    </row>
    <row r="9" spans="1:22" s="1" customFormat="1" ht="15.75" x14ac:dyDescent="0.25">
      <c r="A9" s="32" t="s">
        <v>31</v>
      </c>
      <c r="B9" s="32" t="s">
        <v>19</v>
      </c>
      <c r="C9" s="32" t="s">
        <v>32</v>
      </c>
      <c r="D9" s="32">
        <v>0</v>
      </c>
      <c r="E9" s="32">
        <v>4</v>
      </c>
      <c r="F9" s="32">
        <v>19</v>
      </c>
      <c r="G9" s="32">
        <v>18</v>
      </c>
      <c r="H9" s="32">
        <v>0</v>
      </c>
      <c r="I9" s="33">
        <v>41</v>
      </c>
      <c r="J9" s="32" t="s">
        <v>78</v>
      </c>
      <c r="K9" s="5"/>
      <c r="L9" s="5"/>
      <c r="M9" s="5"/>
      <c r="N9" s="6">
        <v>1.1599999999999999</v>
      </c>
      <c r="O9" s="6">
        <v>1.1599999999999999</v>
      </c>
      <c r="P9" s="7">
        <f t="shared" si="0"/>
        <v>1.3455999999999999</v>
      </c>
      <c r="Q9" s="4">
        <f t="shared" si="1"/>
        <v>55.169599999999996</v>
      </c>
      <c r="S9" s="4">
        <f>Q9</f>
        <v>55.169599999999996</v>
      </c>
      <c r="T9" s="22"/>
      <c r="U9" s="15"/>
      <c r="V9" s="11"/>
    </row>
    <row r="10" spans="1:22" s="1" customFormat="1" ht="15.75" x14ac:dyDescent="0.25">
      <c r="A10" s="27" t="s">
        <v>33</v>
      </c>
      <c r="B10" s="27" t="s">
        <v>19</v>
      </c>
      <c r="C10" s="27" t="s">
        <v>34</v>
      </c>
      <c r="D10" s="27">
        <v>0</v>
      </c>
      <c r="E10" s="27">
        <v>4</v>
      </c>
      <c r="F10" s="27">
        <v>2</v>
      </c>
      <c r="G10" s="27">
        <v>0</v>
      </c>
      <c r="H10" s="27">
        <v>0</v>
      </c>
      <c r="I10" s="28">
        <v>6</v>
      </c>
      <c r="J10" s="27" t="s">
        <v>78</v>
      </c>
      <c r="K10" s="29"/>
      <c r="L10" s="29"/>
      <c r="M10" s="29"/>
      <c r="N10" s="30">
        <v>1.1599999999999999</v>
      </c>
      <c r="O10" s="30">
        <v>1.1599999999999999</v>
      </c>
      <c r="P10" s="31">
        <f t="shared" si="0"/>
        <v>1.3455999999999999</v>
      </c>
      <c r="Q10" s="22">
        <f t="shared" si="1"/>
        <v>8.073599999999999</v>
      </c>
      <c r="S10" s="4"/>
      <c r="T10" s="22">
        <f>Q10</f>
        <v>8.073599999999999</v>
      </c>
      <c r="U10" s="15"/>
      <c r="V10" s="11"/>
    </row>
    <row r="11" spans="1:22" s="1" customFormat="1" ht="15.75" x14ac:dyDescent="0.25">
      <c r="A11" s="23" t="s">
        <v>35</v>
      </c>
      <c r="B11" s="23" t="s">
        <v>19</v>
      </c>
      <c r="C11" s="23" t="s">
        <v>36</v>
      </c>
      <c r="D11" s="23">
        <v>0</v>
      </c>
      <c r="E11" s="23">
        <v>1</v>
      </c>
      <c r="F11" s="23">
        <v>1</v>
      </c>
      <c r="G11" s="23">
        <v>1</v>
      </c>
      <c r="H11" s="23">
        <v>1</v>
      </c>
      <c r="I11" s="24">
        <v>4</v>
      </c>
      <c r="J11" s="23" t="s">
        <v>78</v>
      </c>
      <c r="K11" s="8"/>
      <c r="L11" s="8"/>
      <c r="M11" s="8"/>
      <c r="N11" s="9">
        <v>2.2599999999999998</v>
      </c>
      <c r="O11" s="9">
        <v>4.8600000000000003</v>
      </c>
      <c r="P11" s="10">
        <f t="shared" si="0"/>
        <v>10.983599999999999</v>
      </c>
      <c r="Q11" s="11">
        <f t="shared" si="1"/>
        <v>43.934399999999997</v>
      </c>
      <c r="R11" s="1" t="s">
        <v>97</v>
      </c>
      <c r="S11" s="4"/>
      <c r="T11" s="22"/>
      <c r="U11" s="15"/>
      <c r="V11" s="11">
        <f>Q11</f>
        <v>43.934399999999997</v>
      </c>
    </row>
    <row r="12" spans="1:22" s="1" customFormat="1" ht="15.75" x14ac:dyDescent="0.25">
      <c r="A12" s="23" t="s">
        <v>37</v>
      </c>
      <c r="B12" s="23" t="s">
        <v>19</v>
      </c>
      <c r="C12" s="23" t="s">
        <v>38</v>
      </c>
      <c r="D12" s="23">
        <v>0</v>
      </c>
      <c r="E12" s="23">
        <v>3</v>
      </c>
      <c r="F12" s="23">
        <v>3</v>
      </c>
      <c r="G12" s="23">
        <v>4</v>
      </c>
      <c r="H12" s="23">
        <v>2</v>
      </c>
      <c r="I12" s="24">
        <v>12</v>
      </c>
      <c r="J12" s="23" t="s">
        <v>78</v>
      </c>
      <c r="K12" s="8"/>
      <c r="L12" s="8"/>
      <c r="M12" s="8"/>
      <c r="N12" s="9">
        <v>2.2599999999999998</v>
      </c>
      <c r="O12" s="9">
        <v>4.0599999999999996</v>
      </c>
      <c r="P12" s="10">
        <f t="shared" si="0"/>
        <v>9.1755999999999975</v>
      </c>
      <c r="Q12" s="11">
        <f t="shared" si="1"/>
        <v>110.10719999999998</v>
      </c>
      <c r="R12" s="1" t="s">
        <v>97</v>
      </c>
      <c r="S12" s="4"/>
      <c r="T12" s="22"/>
      <c r="U12" s="15"/>
      <c r="V12" s="11">
        <f>Q12</f>
        <v>110.10719999999998</v>
      </c>
    </row>
    <row r="13" spans="1:22" s="1" customFormat="1" ht="15.75" x14ac:dyDescent="0.25">
      <c r="A13" s="25" t="s">
        <v>39</v>
      </c>
      <c r="B13" s="25" t="s">
        <v>19</v>
      </c>
      <c r="C13" s="25" t="s">
        <v>40</v>
      </c>
      <c r="D13" s="25">
        <v>0</v>
      </c>
      <c r="E13" s="25">
        <v>9</v>
      </c>
      <c r="F13" s="25">
        <v>2</v>
      </c>
      <c r="G13" s="25">
        <v>2</v>
      </c>
      <c r="H13" s="25">
        <v>0</v>
      </c>
      <c r="I13" s="26">
        <v>13</v>
      </c>
      <c r="J13" s="25" t="s">
        <v>78</v>
      </c>
      <c r="K13" s="12"/>
      <c r="L13" s="12"/>
      <c r="M13" s="12"/>
      <c r="N13" s="13">
        <v>1.94</v>
      </c>
      <c r="O13" s="13">
        <v>1.72</v>
      </c>
      <c r="P13" s="14">
        <f t="shared" si="0"/>
        <v>3.3367999999999998</v>
      </c>
      <c r="Q13" s="15">
        <f t="shared" si="1"/>
        <v>43.378399999999999</v>
      </c>
      <c r="R13" s="1" t="s">
        <v>97</v>
      </c>
      <c r="S13" s="4"/>
      <c r="T13" s="22"/>
      <c r="U13" s="15">
        <f>Q13</f>
        <v>43.378399999999999</v>
      </c>
      <c r="V13" s="11"/>
    </row>
    <row r="14" spans="1:22" s="1" customFormat="1" ht="15.75" x14ac:dyDescent="0.25">
      <c r="A14" s="32" t="s">
        <v>41</v>
      </c>
      <c r="B14" s="32" t="s">
        <v>42</v>
      </c>
      <c r="C14" s="32" t="s">
        <v>43</v>
      </c>
      <c r="D14" s="32">
        <v>0</v>
      </c>
      <c r="E14" s="32">
        <v>29</v>
      </c>
      <c r="F14" s="32">
        <v>32</v>
      </c>
      <c r="G14" s="32">
        <v>29</v>
      </c>
      <c r="H14" s="32">
        <v>23</v>
      </c>
      <c r="I14" s="33">
        <v>113</v>
      </c>
      <c r="J14" s="32" t="s">
        <v>83</v>
      </c>
      <c r="K14" s="5"/>
      <c r="L14" s="5"/>
      <c r="M14" s="5"/>
      <c r="N14" s="6">
        <v>0.56000000000000005</v>
      </c>
      <c r="O14" s="6">
        <v>1.46</v>
      </c>
      <c r="P14" s="7">
        <f t="shared" si="0"/>
        <v>0.8176000000000001</v>
      </c>
      <c r="Q14" s="4">
        <f t="shared" si="1"/>
        <v>92.388800000000018</v>
      </c>
      <c r="S14" s="4">
        <f>Q14</f>
        <v>92.388800000000018</v>
      </c>
      <c r="T14" s="22"/>
      <c r="U14" s="15"/>
      <c r="V14" s="11"/>
    </row>
    <row r="15" spans="1:22" s="1" customFormat="1" ht="15.75" x14ac:dyDescent="0.25">
      <c r="A15" s="32" t="s">
        <v>44</v>
      </c>
      <c r="B15" s="32" t="s">
        <v>42</v>
      </c>
      <c r="C15" s="32" t="s">
        <v>45</v>
      </c>
      <c r="D15" s="32">
        <v>0</v>
      </c>
      <c r="E15" s="32">
        <v>0</v>
      </c>
      <c r="F15" s="32">
        <v>2</v>
      </c>
      <c r="G15" s="32">
        <v>2</v>
      </c>
      <c r="H15" s="32">
        <v>2</v>
      </c>
      <c r="I15" s="33">
        <v>6</v>
      </c>
      <c r="J15" s="32" t="s">
        <v>83</v>
      </c>
      <c r="K15" s="5"/>
      <c r="L15" s="5"/>
      <c r="M15" s="5"/>
      <c r="N15" s="6">
        <v>0.56000000000000005</v>
      </c>
      <c r="O15" s="6">
        <v>1.06</v>
      </c>
      <c r="P15" s="7">
        <f t="shared" si="0"/>
        <v>0.59360000000000013</v>
      </c>
      <c r="Q15" s="4">
        <f t="shared" si="1"/>
        <v>3.5616000000000008</v>
      </c>
      <c r="S15" s="4">
        <f>Q15</f>
        <v>3.5616000000000008</v>
      </c>
      <c r="T15" s="22"/>
      <c r="U15" s="15"/>
      <c r="V15" s="11"/>
    </row>
    <row r="16" spans="1:22" s="1" customFormat="1" ht="15.75" x14ac:dyDescent="0.25">
      <c r="A16" s="27" t="s">
        <v>46</v>
      </c>
      <c r="B16" s="27" t="s">
        <v>19</v>
      </c>
      <c r="C16" s="27" t="s">
        <v>47</v>
      </c>
      <c r="D16" s="27">
        <v>0</v>
      </c>
      <c r="E16" s="27">
        <v>1</v>
      </c>
      <c r="F16" s="27">
        <v>0</v>
      </c>
      <c r="G16" s="27">
        <v>0</v>
      </c>
      <c r="H16" s="27">
        <v>0</v>
      </c>
      <c r="I16" s="28">
        <v>1</v>
      </c>
      <c r="J16" s="27" t="s">
        <v>78</v>
      </c>
      <c r="K16" s="29"/>
      <c r="L16" s="29"/>
      <c r="M16" s="29"/>
      <c r="N16" s="30">
        <v>1.1599999999999999</v>
      </c>
      <c r="O16" s="30">
        <v>1.1599999999999999</v>
      </c>
      <c r="P16" s="31">
        <f t="shared" si="0"/>
        <v>1.3455999999999999</v>
      </c>
      <c r="Q16" s="22">
        <f t="shared" si="1"/>
        <v>1.3455999999999999</v>
      </c>
      <c r="S16" s="4"/>
      <c r="T16" s="22">
        <f>Q16</f>
        <v>1.3455999999999999</v>
      </c>
      <c r="U16" s="15"/>
      <c r="V16" s="11"/>
    </row>
    <row r="17" spans="1:22" s="1" customFormat="1" ht="15.75" x14ac:dyDescent="0.25">
      <c r="A17" s="23" t="s">
        <v>48</v>
      </c>
      <c r="B17" s="23" t="s">
        <v>19</v>
      </c>
      <c r="C17" s="23" t="s">
        <v>49</v>
      </c>
      <c r="D17" s="23">
        <v>0</v>
      </c>
      <c r="E17" s="23">
        <v>2</v>
      </c>
      <c r="F17" s="23">
        <v>2</v>
      </c>
      <c r="G17" s="23">
        <v>2</v>
      </c>
      <c r="H17" s="23">
        <v>1</v>
      </c>
      <c r="I17" s="24">
        <v>7</v>
      </c>
      <c r="J17" s="23" t="s">
        <v>78</v>
      </c>
      <c r="K17" s="8"/>
      <c r="L17" s="8"/>
      <c r="M17" s="8"/>
      <c r="N17" s="9">
        <v>2.2599999999999998</v>
      </c>
      <c r="O17" s="9">
        <v>5.56</v>
      </c>
      <c r="P17" s="10">
        <f t="shared" si="0"/>
        <v>12.565599999999998</v>
      </c>
      <c r="Q17" s="11">
        <f t="shared" si="1"/>
        <v>87.959199999999981</v>
      </c>
      <c r="R17" s="1" t="s">
        <v>97</v>
      </c>
      <c r="S17" s="4"/>
      <c r="T17" s="22"/>
      <c r="U17" s="15"/>
      <c r="V17" s="11">
        <f>Q17</f>
        <v>87.959199999999981</v>
      </c>
    </row>
    <row r="18" spans="1:22" s="1" customFormat="1" ht="15.75" x14ac:dyDescent="0.25">
      <c r="A18" s="21" t="s">
        <v>50</v>
      </c>
      <c r="B18" s="21" t="s">
        <v>51</v>
      </c>
      <c r="C18" s="21" t="s">
        <v>52</v>
      </c>
      <c r="D18" s="21">
        <v>0</v>
      </c>
      <c r="E18" s="21">
        <v>0</v>
      </c>
      <c r="F18" s="21">
        <v>0</v>
      </c>
      <c r="G18" s="21">
        <v>1</v>
      </c>
      <c r="H18" s="21">
        <v>0</v>
      </c>
      <c r="I18" s="34">
        <v>1</v>
      </c>
      <c r="J18" s="21" t="s">
        <v>78</v>
      </c>
      <c r="K18" s="20"/>
      <c r="L18" s="20"/>
      <c r="M18" s="20"/>
      <c r="N18" s="2">
        <v>1.1599999999999999</v>
      </c>
      <c r="O18" s="2">
        <v>2.96</v>
      </c>
      <c r="P18" s="3">
        <f t="shared" si="0"/>
        <v>3.4335999999999998</v>
      </c>
      <c r="Q18" s="1">
        <f t="shared" si="1"/>
        <v>3.4335999999999998</v>
      </c>
      <c r="S18" s="4"/>
      <c r="T18" s="22"/>
      <c r="U18" s="15"/>
      <c r="V18" s="11"/>
    </row>
    <row r="19" spans="1:22" s="1" customFormat="1" ht="15.75" x14ac:dyDescent="0.25">
      <c r="A19" s="23" t="s">
        <v>53</v>
      </c>
      <c r="B19" s="23" t="s">
        <v>19</v>
      </c>
      <c r="C19" s="36" t="s">
        <v>54</v>
      </c>
      <c r="D19" s="23">
        <v>0</v>
      </c>
      <c r="E19" s="23">
        <v>1</v>
      </c>
      <c r="F19" s="23">
        <v>0</v>
      </c>
      <c r="G19" s="23">
        <v>1</v>
      </c>
      <c r="H19" s="23">
        <v>0</v>
      </c>
      <c r="I19" s="24">
        <v>2</v>
      </c>
      <c r="J19" s="23" t="s">
        <v>78</v>
      </c>
      <c r="K19" s="8"/>
      <c r="L19" s="8"/>
      <c r="M19" s="8"/>
      <c r="N19" s="9">
        <v>1.94</v>
      </c>
      <c r="O19" s="9">
        <v>3.08</v>
      </c>
      <c r="P19" s="10">
        <f t="shared" si="0"/>
        <v>5.9752000000000001</v>
      </c>
      <c r="Q19" s="11">
        <f t="shared" si="1"/>
        <v>11.9504</v>
      </c>
      <c r="S19" s="4"/>
      <c r="T19" s="22"/>
      <c r="U19" s="15"/>
      <c r="V19" s="11">
        <f>Q19</f>
        <v>11.9504</v>
      </c>
    </row>
    <row r="20" spans="1:22" s="1" customFormat="1" ht="15.75" x14ac:dyDescent="0.25">
      <c r="A20" s="23" t="s">
        <v>55</v>
      </c>
      <c r="B20" s="23" t="s">
        <v>19</v>
      </c>
      <c r="C20" s="23" t="s">
        <v>56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4">
        <v>1</v>
      </c>
      <c r="J20" s="23" t="s">
        <v>78</v>
      </c>
      <c r="K20" s="8"/>
      <c r="L20" s="8"/>
      <c r="M20" s="8"/>
      <c r="N20" s="9">
        <v>1.1599999999999999</v>
      </c>
      <c r="O20" s="9">
        <v>2.96</v>
      </c>
      <c r="P20" s="10">
        <f t="shared" si="0"/>
        <v>3.4335999999999998</v>
      </c>
      <c r="Q20" s="11">
        <f t="shared" si="1"/>
        <v>3.4335999999999998</v>
      </c>
      <c r="S20" s="4"/>
      <c r="T20" s="22"/>
      <c r="U20" s="15"/>
      <c r="V20" s="11">
        <f t="shared" ref="V20:V24" si="3">Q20</f>
        <v>3.4335999999999998</v>
      </c>
    </row>
    <row r="21" spans="1:22" s="1" customFormat="1" ht="15.75" x14ac:dyDescent="0.25">
      <c r="A21" s="23" t="s">
        <v>57</v>
      </c>
      <c r="B21" s="23" t="s">
        <v>19</v>
      </c>
      <c r="C21" s="23" t="s">
        <v>58</v>
      </c>
      <c r="D21" s="23">
        <v>0</v>
      </c>
      <c r="E21" s="23">
        <v>0</v>
      </c>
      <c r="F21" s="23">
        <v>1</v>
      </c>
      <c r="G21" s="23">
        <v>0</v>
      </c>
      <c r="H21" s="23">
        <v>0</v>
      </c>
      <c r="I21" s="24">
        <v>1</v>
      </c>
      <c r="J21" s="23" t="s">
        <v>78</v>
      </c>
      <c r="K21" s="8"/>
      <c r="L21" s="8"/>
      <c r="M21" s="8"/>
      <c r="N21" s="9">
        <v>0.83</v>
      </c>
      <c r="O21" s="9">
        <v>3.08</v>
      </c>
      <c r="P21" s="10">
        <f t="shared" si="0"/>
        <v>2.5564</v>
      </c>
      <c r="Q21" s="11">
        <f t="shared" si="1"/>
        <v>2.5564</v>
      </c>
      <c r="S21" s="4"/>
      <c r="T21" s="22"/>
      <c r="U21" s="15"/>
      <c r="V21" s="11">
        <f t="shared" si="3"/>
        <v>2.5564</v>
      </c>
    </row>
    <row r="22" spans="1:22" s="1" customFormat="1" ht="15.75" x14ac:dyDescent="0.25">
      <c r="A22" s="23" t="s">
        <v>59</v>
      </c>
      <c r="B22" s="23" t="s">
        <v>19</v>
      </c>
      <c r="C22" s="23" t="s">
        <v>60</v>
      </c>
      <c r="D22" s="23">
        <v>0</v>
      </c>
      <c r="E22" s="23">
        <v>1</v>
      </c>
      <c r="F22" s="23">
        <v>1</v>
      </c>
      <c r="G22" s="23">
        <v>1</v>
      </c>
      <c r="H22" s="23">
        <v>1</v>
      </c>
      <c r="I22" s="24">
        <v>4</v>
      </c>
      <c r="J22" s="23" t="s">
        <v>78</v>
      </c>
      <c r="K22" s="8"/>
      <c r="L22" s="8"/>
      <c r="M22" s="8"/>
      <c r="N22" s="9">
        <v>2.2599999999999998</v>
      </c>
      <c r="O22" s="9">
        <v>2.66</v>
      </c>
      <c r="P22" s="10">
        <f t="shared" si="0"/>
        <v>6.0115999999999996</v>
      </c>
      <c r="Q22" s="11">
        <f t="shared" si="1"/>
        <v>24.046399999999998</v>
      </c>
      <c r="R22" s="1" t="s">
        <v>97</v>
      </c>
      <c r="S22" s="4"/>
      <c r="T22" s="22"/>
      <c r="U22" s="15"/>
      <c r="V22" s="11">
        <f t="shared" si="3"/>
        <v>24.046399999999998</v>
      </c>
    </row>
    <row r="23" spans="1:22" s="1" customFormat="1" ht="15.75" x14ac:dyDescent="0.25">
      <c r="A23" s="23" t="s">
        <v>61</v>
      </c>
      <c r="B23" s="23" t="s">
        <v>19</v>
      </c>
      <c r="C23" s="23" t="s">
        <v>62</v>
      </c>
      <c r="D23" s="23">
        <v>0</v>
      </c>
      <c r="E23" s="23">
        <v>1</v>
      </c>
      <c r="F23" s="23">
        <v>1</v>
      </c>
      <c r="G23" s="23">
        <v>1</v>
      </c>
      <c r="H23" s="23">
        <v>1</v>
      </c>
      <c r="I23" s="35">
        <v>4</v>
      </c>
      <c r="J23" s="23" t="s">
        <v>78</v>
      </c>
      <c r="K23" s="8"/>
      <c r="L23" s="8"/>
      <c r="M23" s="8"/>
      <c r="N23" s="9">
        <v>1.54</v>
      </c>
      <c r="O23" s="9">
        <v>2.14</v>
      </c>
      <c r="P23" s="10">
        <f t="shared" si="0"/>
        <v>3.2956000000000003</v>
      </c>
      <c r="Q23" s="11">
        <f t="shared" si="1"/>
        <v>13.182400000000001</v>
      </c>
      <c r="R23" s="1" t="s">
        <v>97</v>
      </c>
      <c r="S23" s="4"/>
      <c r="T23" s="22"/>
      <c r="U23" s="15"/>
      <c r="V23" s="11">
        <f t="shared" si="3"/>
        <v>13.182400000000001</v>
      </c>
    </row>
    <row r="24" spans="1:22" s="1" customFormat="1" ht="15.75" x14ac:dyDescent="0.25">
      <c r="A24" s="23" t="s">
        <v>63</v>
      </c>
      <c r="B24" s="23" t="s">
        <v>19</v>
      </c>
      <c r="C24" s="36" t="s">
        <v>85</v>
      </c>
      <c r="D24" s="23">
        <v>0</v>
      </c>
      <c r="E24" s="23">
        <v>2</v>
      </c>
      <c r="F24" s="23">
        <v>0</v>
      </c>
      <c r="G24" s="23">
        <v>0</v>
      </c>
      <c r="H24" s="23">
        <v>0</v>
      </c>
      <c r="I24" s="35">
        <v>2</v>
      </c>
      <c r="J24" s="23" t="s">
        <v>78</v>
      </c>
      <c r="K24" s="8"/>
      <c r="L24" s="8"/>
      <c r="M24" s="8"/>
      <c r="N24" s="9">
        <v>1.94</v>
      </c>
      <c r="O24" s="9">
        <v>2.36</v>
      </c>
      <c r="P24" s="10">
        <f t="shared" si="0"/>
        <v>4.5783999999999994</v>
      </c>
      <c r="Q24" s="11">
        <f t="shared" si="1"/>
        <v>9.1567999999999987</v>
      </c>
      <c r="S24" s="4"/>
      <c r="T24" s="22"/>
      <c r="U24" s="15"/>
      <c r="V24" s="11">
        <f t="shared" si="3"/>
        <v>9.1567999999999987</v>
      </c>
    </row>
    <row r="25" spans="1:22" s="1" customFormat="1" ht="15.75" x14ac:dyDescent="0.25">
      <c r="A25" s="21" t="s">
        <v>65</v>
      </c>
      <c r="B25" s="21" t="s">
        <v>51</v>
      </c>
      <c r="C25" s="21" t="s">
        <v>66</v>
      </c>
      <c r="D25" s="21">
        <v>0</v>
      </c>
      <c r="E25" s="21">
        <v>0</v>
      </c>
      <c r="F25" s="21">
        <v>0</v>
      </c>
      <c r="G25" s="21">
        <v>2</v>
      </c>
      <c r="H25" s="21">
        <v>3</v>
      </c>
      <c r="I25" s="21">
        <v>5</v>
      </c>
      <c r="J25" s="21" t="s">
        <v>84</v>
      </c>
      <c r="K25" s="20"/>
      <c r="L25" s="20"/>
      <c r="M25" s="20"/>
      <c r="N25" s="2">
        <v>0.56000000000000005</v>
      </c>
      <c r="O25" s="2">
        <v>1.46</v>
      </c>
      <c r="P25" s="3">
        <f t="shared" si="0"/>
        <v>0.8176000000000001</v>
      </c>
      <c r="Q25" s="1">
        <f t="shared" si="1"/>
        <v>4.088000000000001</v>
      </c>
      <c r="S25" s="4"/>
      <c r="T25" s="22"/>
      <c r="U25" s="15"/>
      <c r="V25" s="11"/>
    </row>
    <row r="26" spans="1:22" x14ac:dyDescent="0.25">
      <c r="S26">
        <f>SUM(S3:S25)</f>
        <v>151.12</v>
      </c>
      <c r="T26">
        <f t="shared" ref="T26:V26" si="4">SUM(T3:T25)</f>
        <v>79.388799999999989</v>
      </c>
      <c r="U26">
        <f t="shared" si="4"/>
        <v>309.87759999999997</v>
      </c>
      <c r="V26">
        <f t="shared" si="4"/>
        <v>1294.5795999999998</v>
      </c>
    </row>
    <row r="28" spans="1:22" x14ac:dyDescent="0.25">
      <c r="R28">
        <f>SUM(I3:I25)-I18-I25-I14-I15</f>
        <v>339</v>
      </c>
    </row>
    <row r="29" spans="1:22" x14ac:dyDescent="0.25">
      <c r="R29">
        <v>339</v>
      </c>
    </row>
    <row r="31" spans="1:22" x14ac:dyDescent="0.25">
      <c r="S31">
        <f>SUM(I3:I25)-I18-I25</f>
        <v>458</v>
      </c>
    </row>
  </sheetData>
  <sheetProtection algorithmName="SHA-512" hashValue="CNt5k2+RatHxn+0MMHYejuY2VmLClQXOrNlbLQm0LcsT0+9Evo2dGFKz2d3cARXmb0Th3xZUMZi36g5xTQcKiw==" saltValue="1bB7yuKNSx1bd4nwpCtt3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5"/>
  <sheetViews>
    <sheetView topLeftCell="A4" zoomScale="110" zoomScaleNormal="110" workbookViewId="0">
      <selection activeCell="D28" sqref="D28"/>
    </sheetView>
  </sheetViews>
  <sheetFormatPr defaultRowHeight="15" x14ac:dyDescent="0.25"/>
  <cols>
    <col min="1" max="1" width="13.140625" customWidth="1"/>
    <col min="2" max="2" width="48.7109375" hidden="1" customWidth="1"/>
    <col min="3" max="3" width="31" customWidth="1"/>
    <col min="4" max="4" width="8.5703125" bestFit="1" customWidth="1"/>
    <col min="5" max="5" width="9.5703125" bestFit="1" customWidth="1"/>
    <col min="6" max="7" width="13.42578125" bestFit="1" customWidth="1"/>
    <col min="8" max="8" width="14" customWidth="1"/>
    <col min="9" max="9" width="19.140625" bestFit="1" customWidth="1"/>
    <col min="10" max="10" width="15" customWidth="1"/>
    <col min="11" max="11" width="8.42578125" customWidth="1"/>
    <col min="12" max="12" width="8.5703125" customWidth="1"/>
    <col min="14" max="14" width="10.28515625" customWidth="1"/>
  </cols>
  <sheetData>
    <row r="1" spans="1:18" x14ac:dyDescent="0.25">
      <c r="C1" s="205"/>
      <c r="D1" s="205"/>
      <c r="E1" s="205"/>
      <c r="F1" s="205"/>
      <c r="G1" s="205"/>
    </row>
    <row r="2" spans="1:18" x14ac:dyDescent="0.25">
      <c r="A2" s="82"/>
      <c r="B2" s="82"/>
      <c r="C2" s="83"/>
      <c r="D2" s="84"/>
      <c r="E2" s="84"/>
      <c r="F2" s="84"/>
      <c r="G2" s="84"/>
      <c r="H2" s="84"/>
    </row>
    <row r="3" spans="1:18" ht="24.75" customHeight="1" x14ac:dyDescent="0.25">
      <c r="A3" s="206" t="s">
        <v>113</v>
      </c>
      <c r="B3" s="207"/>
      <c r="C3" s="207"/>
      <c r="D3" s="207"/>
      <c r="E3" s="207"/>
      <c r="F3" s="207"/>
      <c r="G3" s="207"/>
      <c r="H3" s="208"/>
      <c r="I3" s="99"/>
    </row>
    <row r="4" spans="1:18" ht="33" x14ac:dyDescent="0.25">
      <c r="A4" s="86" t="s">
        <v>109</v>
      </c>
      <c r="B4" s="86" t="s">
        <v>6</v>
      </c>
      <c r="C4" s="86" t="s">
        <v>7</v>
      </c>
      <c r="D4" s="86" t="s">
        <v>73</v>
      </c>
      <c r="E4" s="86" t="s">
        <v>11</v>
      </c>
      <c r="F4" s="86" t="s">
        <v>12</v>
      </c>
      <c r="G4" s="89" t="s">
        <v>111</v>
      </c>
      <c r="H4" s="89" t="s">
        <v>112</v>
      </c>
      <c r="I4" s="99"/>
      <c r="J4" t="s">
        <v>114</v>
      </c>
      <c r="K4" t="s">
        <v>115</v>
      </c>
      <c r="L4" t="s">
        <v>116</v>
      </c>
      <c r="M4" t="s">
        <v>117</v>
      </c>
      <c r="N4" t="s">
        <v>118</v>
      </c>
      <c r="O4" t="s">
        <v>119</v>
      </c>
      <c r="P4" t="s">
        <v>120</v>
      </c>
      <c r="R4" t="s">
        <v>121</v>
      </c>
    </row>
    <row r="5" spans="1:18" ht="16.5" x14ac:dyDescent="0.25">
      <c r="A5" s="106" t="s">
        <v>18</v>
      </c>
      <c r="B5" s="106" t="s">
        <v>19</v>
      </c>
      <c r="C5" s="106" t="s">
        <v>20</v>
      </c>
      <c r="D5" s="107">
        <v>71</v>
      </c>
      <c r="E5" s="107">
        <v>2360</v>
      </c>
      <c r="F5" s="107">
        <v>2260</v>
      </c>
      <c r="G5" s="122">
        <f>(E5*F5)/1000000</f>
        <v>5.3335999999999997</v>
      </c>
      <c r="H5" s="122">
        <f>D5*G5</f>
        <v>378.68559999999997</v>
      </c>
      <c r="I5" s="99" t="s">
        <v>68</v>
      </c>
      <c r="J5" s="92">
        <f>H7+H11+H16+H17+H28</f>
        <v>224.72959999999995</v>
      </c>
      <c r="K5" s="93">
        <f>H6+H12+H15+H20+H18</f>
        <v>322.73039999999997</v>
      </c>
      <c r="L5" s="94">
        <f>H5+H8+H22+H24+H25+H26</f>
        <v>444.81599999999992</v>
      </c>
      <c r="M5" s="95">
        <f>H9+H21+H23</f>
        <v>43.977199999999996</v>
      </c>
      <c r="N5" s="97">
        <f>H10+H14</f>
        <v>674.20320000000004</v>
      </c>
      <c r="O5" s="98">
        <f>H13</f>
        <v>43.934399999999997</v>
      </c>
      <c r="P5" s="96">
        <f>H19</f>
        <v>87.959199999999996</v>
      </c>
      <c r="Q5" s="99"/>
      <c r="R5">
        <f>SUM(J5:P5)</f>
        <v>1842.3500000000001</v>
      </c>
    </row>
    <row r="6" spans="1:18" ht="16.5" x14ac:dyDescent="0.25">
      <c r="A6" s="103" t="s">
        <v>21</v>
      </c>
      <c r="B6" s="103" t="s">
        <v>19</v>
      </c>
      <c r="C6" s="103" t="s">
        <v>22</v>
      </c>
      <c r="D6" s="104">
        <v>67</v>
      </c>
      <c r="E6" s="104">
        <v>1760</v>
      </c>
      <c r="F6" s="104">
        <v>2260</v>
      </c>
      <c r="G6" s="123">
        <f t="shared" ref="G6:G28" si="0">(E6*F6)/1000000</f>
        <v>3.9775999999999998</v>
      </c>
      <c r="H6" s="123">
        <f t="shared" ref="H6:H10" si="1">D6*G6</f>
        <v>266.49919999999997</v>
      </c>
      <c r="I6" s="99" t="s">
        <v>68</v>
      </c>
    </row>
    <row r="7" spans="1:18" ht="16.5" x14ac:dyDescent="0.25">
      <c r="A7" s="100" t="s">
        <v>23</v>
      </c>
      <c r="B7" s="100" t="s">
        <v>19</v>
      </c>
      <c r="C7" s="100" t="s">
        <v>24</v>
      </c>
      <c r="D7" s="101">
        <v>36</v>
      </c>
      <c r="E7" s="101">
        <v>860</v>
      </c>
      <c r="F7" s="101">
        <v>2260</v>
      </c>
      <c r="G7" s="124">
        <f t="shared" si="0"/>
        <v>1.9436</v>
      </c>
      <c r="H7" s="124">
        <f t="shared" si="1"/>
        <v>69.9696</v>
      </c>
      <c r="I7" s="99" t="s">
        <v>68</v>
      </c>
    </row>
    <row r="8" spans="1:18" ht="16.5" x14ac:dyDescent="0.25">
      <c r="A8" s="106" t="s">
        <v>25</v>
      </c>
      <c r="B8" s="106" t="s">
        <v>19</v>
      </c>
      <c r="C8" s="106" t="s">
        <v>26</v>
      </c>
      <c r="D8" s="107">
        <v>3</v>
      </c>
      <c r="E8" s="107">
        <v>2360</v>
      </c>
      <c r="F8" s="107">
        <v>2260</v>
      </c>
      <c r="G8" s="122">
        <f t="shared" si="0"/>
        <v>5.3335999999999997</v>
      </c>
      <c r="H8" s="122">
        <f t="shared" si="1"/>
        <v>16.000799999999998</v>
      </c>
      <c r="I8" s="99" t="s">
        <v>67</v>
      </c>
    </row>
    <row r="9" spans="1:18" ht="16.5" x14ac:dyDescent="0.25">
      <c r="A9" s="109" t="s">
        <v>27</v>
      </c>
      <c r="B9" s="109" t="s">
        <v>19</v>
      </c>
      <c r="C9" s="109" t="s">
        <v>28</v>
      </c>
      <c r="D9" s="108">
        <v>4</v>
      </c>
      <c r="E9" s="108">
        <v>3260</v>
      </c>
      <c r="F9" s="108">
        <v>2260</v>
      </c>
      <c r="G9" s="125">
        <f t="shared" si="0"/>
        <v>7.3676000000000004</v>
      </c>
      <c r="H9" s="125">
        <f t="shared" si="1"/>
        <v>29.470400000000001</v>
      </c>
      <c r="I9" s="99" t="s">
        <v>68</v>
      </c>
      <c r="P9" t="s">
        <v>148</v>
      </c>
      <c r="R9" t="s">
        <v>149</v>
      </c>
    </row>
    <row r="10" spans="1:18" ht="16.5" x14ac:dyDescent="0.25">
      <c r="A10" s="113" t="s">
        <v>29</v>
      </c>
      <c r="B10" s="113" t="s">
        <v>19</v>
      </c>
      <c r="C10" s="113" t="s">
        <v>30</v>
      </c>
      <c r="D10" s="114">
        <v>60</v>
      </c>
      <c r="E10" s="114">
        <v>4160</v>
      </c>
      <c r="F10" s="114">
        <v>2260</v>
      </c>
      <c r="G10" s="126">
        <f t="shared" si="0"/>
        <v>9.4016000000000002</v>
      </c>
      <c r="H10" s="126">
        <f t="shared" si="1"/>
        <v>564.096</v>
      </c>
      <c r="I10" s="99" t="s">
        <v>68</v>
      </c>
    </row>
    <row r="11" spans="1:18" ht="16.5" x14ac:dyDescent="0.25">
      <c r="A11" s="100" t="s">
        <v>31</v>
      </c>
      <c r="B11" s="100" t="s">
        <v>19</v>
      </c>
      <c r="C11" s="100" t="s">
        <v>32</v>
      </c>
      <c r="D11" s="101">
        <v>41</v>
      </c>
      <c r="E11" s="101">
        <v>1160</v>
      </c>
      <c r="F11" s="101">
        <v>1160</v>
      </c>
      <c r="G11" s="124">
        <f t="shared" si="0"/>
        <v>1.3455999999999999</v>
      </c>
      <c r="H11" s="124">
        <f>D11*G11</f>
        <v>55.169599999999996</v>
      </c>
      <c r="I11" s="99" t="s">
        <v>67</v>
      </c>
      <c r="R11" t="s">
        <v>150</v>
      </c>
    </row>
    <row r="12" spans="1:18" ht="16.5" x14ac:dyDescent="0.25">
      <c r="A12" s="105" t="s">
        <v>33</v>
      </c>
      <c r="B12" s="103" t="s">
        <v>19</v>
      </c>
      <c r="C12" s="103" t="s">
        <v>34</v>
      </c>
      <c r="D12" s="104">
        <v>6</v>
      </c>
      <c r="E12" s="104">
        <v>1160</v>
      </c>
      <c r="F12" s="104">
        <v>1160</v>
      </c>
      <c r="G12" s="123">
        <f t="shared" si="0"/>
        <v>1.3455999999999999</v>
      </c>
      <c r="H12" s="123">
        <f t="shared" ref="H12:H28" si="2">D12*G12</f>
        <v>8.073599999999999</v>
      </c>
      <c r="I12" s="99" t="s">
        <v>68</v>
      </c>
    </row>
    <row r="13" spans="1:18" ht="16.5" x14ac:dyDescent="0.25">
      <c r="A13" s="111" t="s">
        <v>35</v>
      </c>
      <c r="B13" s="111" t="s">
        <v>19</v>
      </c>
      <c r="C13" s="111" t="s">
        <v>36</v>
      </c>
      <c r="D13" s="112">
        <v>4</v>
      </c>
      <c r="E13" s="112">
        <v>4860</v>
      </c>
      <c r="F13" s="112">
        <v>2260</v>
      </c>
      <c r="G13" s="127">
        <f t="shared" si="0"/>
        <v>10.983599999999999</v>
      </c>
      <c r="H13" s="127">
        <f t="shared" si="2"/>
        <v>43.934399999999997</v>
      </c>
      <c r="I13" s="99" t="s">
        <v>68</v>
      </c>
    </row>
    <row r="14" spans="1:18" ht="16.5" x14ac:dyDescent="0.25">
      <c r="A14" s="113" t="s">
        <v>37</v>
      </c>
      <c r="B14" s="113" t="s">
        <v>19</v>
      </c>
      <c r="C14" s="113" t="s">
        <v>38</v>
      </c>
      <c r="D14" s="114">
        <v>12</v>
      </c>
      <c r="E14" s="114">
        <v>4060</v>
      </c>
      <c r="F14" s="114">
        <v>2260</v>
      </c>
      <c r="G14" s="126">
        <f t="shared" si="0"/>
        <v>9.1755999999999993</v>
      </c>
      <c r="H14" s="126">
        <f t="shared" si="2"/>
        <v>110.10719999999999</v>
      </c>
      <c r="I14" s="99" t="s">
        <v>68</v>
      </c>
    </row>
    <row r="15" spans="1:18" ht="16.5" x14ac:dyDescent="0.25">
      <c r="A15" s="105" t="s">
        <v>39</v>
      </c>
      <c r="B15" s="103" t="s">
        <v>19</v>
      </c>
      <c r="C15" s="103" t="s">
        <v>40</v>
      </c>
      <c r="D15" s="104">
        <v>13</v>
      </c>
      <c r="E15" s="104">
        <v>1720</v>
      </c>
      <c r="F15" s="104">
        <v>1940</v>
      </c>
      <c r="G15" s="123">
        <f t="shared" si="0"/>
        <v>3.3368000000000002</v>
      </c>
      <c r="H15" s="123">
        <f t="shared" si="2"/>
        <v>43.378399999999999</v>
      </c>
      <c r="I15" s="99" t="s">
        <v>68</v>
      </c>
      <c r="K15" t="s">
        <v>166</v>
      </c>
    </row>
    <row r="16" spans="1:18" ht="16.5" x14ac:dyDescent="0.25">
      <c r="A16" s="102" t="s">
        <v>41</v>
      </c>
      <c r="B16" s="100" t="s">
        <v>42</v>
      </c>
      <c r="C16" s="100" t="s">
        <v>43</v>
      </c>
      <c r="D16" s="101">
        <v>107</v>
      </c>
      <c r="E16" s="101">
        <v>1460</v>
      </c>
      <c r="F16" s="101">
        <v>560</v>
      </c>
      <c r="G16" s="124">
        <f t="shared" si="0"/>
        <v>0.81759999999999999</v>
      </c>
      <c r="H16" s="124">
        <f t="shared" si="2"/>
        <v>87.483199999999997</v>
      </c>
      <c r="I16" s="99" t="s">
        <v>67</v>
      </c>
    </row>
    <row r="17" spans="1:14" ht="16.5" x14ac:dyDescent="0.25">
      <c r="A17" s="100" t="s">
        <v>44</v>
      </c>
      <c r="B17" s="100" t="s">
        <v>42</v>
      </c>
      <c r="C17" s="100" t="s">
        <v>45</v>
      </c>
      <c r="D17" s="101">
        <v>8</v>
      </c>
      <c r="E17" s="101">
        <v>1060</v>
      </c>
      <c r="F17" s="101">
        <v>560</v>
      </c>
      <c r="G17" s="124">
        <f t="shared" si="0"/>
        <v>0.59360000000000002</v>
      </c>
      <c r="H17" s="124">
        <f t="shared" si="2"/>
        <v>4.7488000000000001</v>
      </c>
      <c r="I17" s="99" t="s">
        <v>67</v>
      </c>
      <c r="K17" t="s">
        <v>167</v>
      </c>
    </row>
    <row r="18" spans="1:14" ht="16.5" x14ac:dyDescent="0.25">
      <c r="A18" s="103" t="s">
        <v>46</v>
      </c>
      <c r="B18" s="103" t="s">
        <v>19</v>
      </c>
      <c r="C18" s="103" t="s">
        <v>47</v>
      </c>
      <c r="D18" s="104">
        <v>1</v>
      </c>
      <c r="E18" s="104">
        <v>1160</v>
      </c>
      <c r="F18" s="104">
        <v>1160</v>
      </c>
      <c r="G18" s="123">
        <f t="shared" si="0"/>
        <v>1.3455999999999999</v>
      </c>
      <c r="H18" s="123">
        <f t="shared" si="2"/>
        <v>1.3455999999999999</v>
      </c>
      <c r="I18" s="99" t="s">
        <v>68</v>
      </c>
    </row>
    <row r="19" spans="1:14" ht="16.5" x14ac:dyDescent="0.25">
      <c r="A19" s="115" t="s">
        <v>48</v>
      </c>
      <c r="B19" s="115" t="s">
        <v>19</v>
      </c>
      <c r="C19" s="115" t="s">
        <v>49</v>
      </c>
      <c r="D19" s="116">
        <v>7</v>
      </c>
      <c r="E19" s="116">
        <v>5560</v>
      </c>
      <c r="F19" s="116">
        <v>2260</v>
      </c>
      <c r="G19" s="128">
        <f t="shared" si="0"/>
        <v>12.5656</v>
      </c>
      <c r="H19" s="128">
        <f t="shared" si="2"/>
        <v>87.959199999999996</v>
      </c>
      <c r="I19" s="99" t="s">
        <v>68</v>
      </c>
    </row>
    <row r="20" spans="1:14" ht="16.5" x14ac:dyDescent="0.25">
      <c r="A20" s="103" t="s">
        <v>50</v>
      </c>
      <c r="B20" s="103" t="s">
        <v>51</v>
      </c>
      <c r="C20" s="103" t="s">
        <v>52</v>
      </c>
      <c r="D20" s="104">
        <v>1</v>
      </c>
      <c r="E20" s="104">
        <v>2960</v>
      </c>
      <c r="F20" s="104">
        <v>1160</v>
      </c>
      <c r="G20" s="123">
        <f t="shared" si="0"/>
        <v>3.4336000000000002</v>
      </c>
      <c r="H20" s="123">
        <f t="shared" si="2"/>
        <v>3.4336000000000002</v>
      </c>
      <c r="I20" s="99" t="s">
        <v>67</v>
      </c>
    </row>
    <row r="21" spans="1:14" ht="16.5" x14ac:dyDescent="0.25">
      <c r="A21" s="109" t="s">
        <v>53</v>
      </c>
      <c r="B21" s="110" t="s">
        <v>19</v>
      </c>
      <c r="C21" s="109" t="s">
        <v>54</v>
      </c>
      <c r="D21" s="108">
        <v>2</v>
      </c>
      <c r="E21" s="108">
        <v>3080</v>
      </c>
      <c r="F21" s="108">
        <v>1940</v>
      </c>
      <c r="G21" s="125">
        <f t="shared" si="0"/>
        <v>5.9752000000000001</v>
      </c>
      <c r="H21" s="125">
        <f t="shared" si="2"/>
        <v>11.9504</v>
      </c>
      <c r="I21" s="99" t="s">
        <v>68</v>
      </c>
      <c r="L21" t="s">
        <v>140</v>
      </c>
    </row>
    <row r="22" spans="1:14" ht="16.5" x14ac:dyDescent="0.25">
      <c r="A22" s="106" t="s">
        <v>55</v>
      </c>
      <c r="B22" s="106" t="s">
        <v>19</v>
      </c>
      <c r="C22" s="106" t="s">
        <v>56</v>
      </c>
      <c r="D22" s="107">
        <v>1</v>
      </c>
      <c r="E22" s="108">
        <v>2960</v>
      </c>
      <c r="F22" s="107">
        <v>1160</v>
      </c>
      <c r="G22" s="122">
        <f t="shared" si="0"/>
        <v>3.4336000000000002</v>
      </c>
      <c r="H22" s="122">
        <f t="shared" si="2"/>
        <v>3.4336000000000002</v>
      </c>
      <c r="I22" s="99" t="s">
        <v>68</v>
      </c>
      <c r="L22" s="93" t="s">
        <v>141</v>
      </c>
      <c r="M22" s="93">
        <v>71</v>
      </c>
      <c r="N22" s="93">
        <f t="shared" ref="N22:N32" si="3">E5+140</f>
        <v>2500</v>
      </c>
    </row>
    <row r="23" spans="1:14" ht="16.5" x14ac:dyDescent="0.25">
      <c r="A23" s="109" t="s">
        <v>57</v>
      </c>
      <c r="B23" s="109" t="s">
        <v>19</v>
      </c>
      <c r="C23" s="109" t="s">
        <v>58</v>
      </c>
      <c r="D23" s="108">
        <v>1</v>
      </c>
      <c r="E23" s="108">
        <v>3080</v>
      </c>
      <c r="F23" s="108">
        <v>830</v>
      </c>
      <c r="G23" s="125">
        <f t="shared" si="0"/>
        <v>2.5564</v>
      </c>
      <c r="H23" s="125">
        <f t="shared" si="2"/>
        <v>2.5564</v>
      </c>
      <c r="I23" s="99" t="s">
        <v>68</v>
      </c>
      <c r="L23" t="s">
        <v>21</v>
      </c>
      <c r="M23">
        <v>67</v>
      </c>
      <c r="N23" s="93">
        <f t="shared" si="3"/>
        <v>1900</v>
      </c>
    </row>
    <row r="24" spans="1:14" ht="16.5" x14ac:dyDescent="0.25">
      <c r="A24" s="106" t="s">
        <v>59</v>
      </c>
      <c r="B24" s="106" t="s">
        <v>19</v>
      </c>
      <c r="C24" s="106" t="s">
        <v>60</v>
      </c>
      <c r="D24" s="107">
        <v>4</v>
      </c>
      <c r="E24" s="107">
        <v>2660</v>
      </c>
      <c r="F24" s="107">
        <v>2260</v>
      </c>
      <c r="G24" s="122">
        <f t="shared" si="0"/>
        <v>6.0115999999999996</v>
      </c>
      <c r="H24" s="122">
        <f t="shared" si="2"/>
        <v>24.046399999999998</v>
      </c>
      <c r="I24" s="99" t="s">
        <v>68</v>
      </c>
      <c r="L24" t="s">
        <v>23</v>
      </c>
      <c r="M24">
        <v>36</v>
      </c>
      <c r="N24" s="93">
        <f t="shared" si="3"/>
        <v>1000</v>
      </c>
    </row>
    <row r="25" spans="1:14" ht="16.5" x14ac:dyDescent="0.25">
      <c r="A25" s="106" t="s">
        <v>61</v>
      </c>
      <c r="B25" s="106" t="s">
        <v>19</v>
      </c>
      <c r="C25" s="106" t="s">
        <v>62</v>
      </c>
      <c r="D25" s="107">
        <v>4</v>
      </c>
      <c r="E25" s="107">
        <v>2140</v>
      </c>
      <c r="F25" s="107">
        <v>1540</v>
      </c>
      <c r="G25" s="122">
        <f t="shared" si="0"/>
        <v>3.2955999999999999</v>
      </c>
      <c r="H25" s="122">
        <f t="shared" si="2"/>
        <v>13.182399999999999</v>
      </c>
      <c r="I25" s="99" t="s">
        <v>68</v>
      </c>
      <c r="L25" s="93" t="s">
        <v>25</v>
      </c>
      <c r="M25" s="93">
        <v>3</v>
      </c>
      <c r="N25" s="93">
        <f t="shared" si="3"/>
        <v>2500</v>
      </c>
    </row>
    <row r="26" spans="1:14" ht="16.5" x14ac:dyDescent="0.25">
      <c r="A26" s="106" t="s">
        <v>63</v>
      </c>
      <c r="B26" s="106" t="s">
        <v>19</v>
      </c>
      <c r="C26" s="106" t="s">
        <v>64</v>
      </c>
      <c r="D26" s="107">
        <v>2</v>
      </c>
      <c r="E26" s="107">
        <v>2440</v>
      </c>
      <c r="F26" s="107">
        <v>1940</v>
      </c>
      <c r="G26" s="122">
        <f t="shared" si="0"/>
        <v>4.7336</v>
      </c>
      <c r="H26" s="122">
        <f t="shared" si="2"/>
        <v>9.4672000000000001</v>
      </c>
      <c r="I26" s="99" t="s">
        <v>68</v>
      </c>
      <c r="L26" t="s">
        <v>27</v>
      </c>
      <c r="M26">
        <v>4</v>
      </c>
      <c r="N26" s="93">
        <f t="shared" si="3"/>
        <v>3400</v>
      </c>
    </row>
    <row r="27" spans="1:14" ht="16.5" x14ac:dyDescent="0.25">
      <c r="A27" s="102" t="s">
        <v>142</v>
      </c>
      <c r="B27" s="102" t="s">
        <v>51</v>
      </c>
      <c r="C27" s="102" t="s">
        <v>146</v>
      </c>
      <c r="D27" s="153">
        <v>7</v>
      </c>
      <c r="E27" s="153">
        <v>1060</v>
      </c>
      <c r="F27" s="153">
        <v>560</v>
      </c>
      <c r="G27" s="154">
        <f t="shared" ref="G27" si="4">(E27*F27)/1000000</f>
        <v>0.59360000000000002</v>
      </c>
      <c r="H27" s="154">
        <f t="shared" ref="H27" si="5">D27*G27</f>
        <v>4.1551999999999998</v>
      </c>
      <c r="I27" s="99"/>
      <c r="L27" t="s">
        <v>29</v>
      </c>
      <c r="M27">
        <v>60</v>
      </c>
      <c r="N27" s="93">
        <f t="shared" si="3"/>
        <v>4300</v>
      </c>
    </row>
    <row r="28" spans="1:14" ht="16.5" x14ac:dyDescent="0.25">
      <c r="A28" s="100" t="s">
        <v>65</v>
      </c>
      <c r="B28" s="100" t="s">
        <v>51</v>
      </c>
      <c r="C28" s="100" t="s">
        <v>66</v>
      </c>
      <c r="D28" s="101">
        <v>9</v>
      </c>
      <c r="E28" s="101">
        <v>1460</v>
      </c>
      <c r="F28" s="101">
        <v>560</v>
      </c>
      <c r="G28" s="124">
        <f t="shared" si="0"/>
        <v>0.81759999999999999</v>
      </c>
      <c r="H28" s="124">
        <f t="shared" si="2"/>
        <v>7.3583999999999996</v>
      </c>
      <c r="I28" s="99" t="s">
        <v>67</v>
      </c>
      <c r="L28" t="s">
        <v>31</v>
      </c>
      <c r="M28">
        <v>41</v>
      </c>
      <c r="N28" s="93">
        <f t="shared" si="3"/>
        <v>1300</v>
      </c>
    </row>
    <row r="29" spans="1:14" ht="16.5" x14ac:dyDescent="0.25">
      <c r="A29" s="87" t="s">
        <v>110</v>
      </c>
      <c r="B29" s="86"/>
      <c r="C29" s="86"/>
      <c r="D29" s="88">
        <f>SUM(D5:D28)-D27</f>
        <v>464</v>
      </c>
      <c r="E29" s="86"/>
      <c r="F29" s="86"/>
      <c r="G29" s="90"/>
      <c r="H29" s="91">
        <f>SUM(H5:H28)</f>
        <v>1846.5052000000001</v>
      </c>
      <c r="L29" t="s">
        <v>33</v>
      </c>
      <c r="M29">
        <v>6</v>
      </c>
      <c r="N29" s="93">
        <f t="shared" si="3"/>
        <v>1300</v>
      </c>
    </row>
    <row r="30" spans="1:14" x14ac:dyDescent="0.25">
      <c r="D30">
        <f>D29-D16-D17-D20-D28</f>
        <v>339</v>
      </c>
      <c r="L30" t="s">
        <v>35</v>
      </c>
      <c r="M30">
        <v>4</v>
      </c>
      <c r="N30" s="93">
        <f t="shared" si="3"/>
        <v>5000</v>
      </c>
    </row>
    <row r="31" spans="1:14" x14ac:dyDescent="0.25">
      <c r="L31" t="s">
        <v>37</v>
      </c>
      <c r="M31">
        <v>12</v>
      </c>
      <c r="N31" s="93">
        <f t="shared" si="3"/>
        <v>4200</v>
      </c>
    </row>
    <row r="32" spans="1:14" x14ac:dyDescent="0.25">
      <c r="L32" t="s">
        <v>39</v>
      </c>
      <c r="M32">
        <v>13</v>
      </c>
      <c r="N32" s="93">
        <f t="shared" si="3"/>
        <v>1860</v>
      </c>
    </row>
    <row r="33" spans="1:14" x14ac:dyDescent="0.25">
      <c r="L33" t="s">
        <v>41</v>
      </c>
      <c r="M33">
        <v>107</v>
      </c>
    </row>
    <row r="34" spans="1:14" x14ac:dyDescent="0.25">
      <c r="L34" t="s">
        <v>46</v>
      </c>
      <c r="M34">
        <v>1</v>
      </c>
      <c r="N34" s="93">
        <f>E18+140</f>
        <v>1300</v>
      </c>
    </row>
    <row r="35" spans="1:14" x14ac:dyDescent="0.25">
      <c r="L35" t="s">
        <v>48</v>
      </c>
      <c r="M35">
        <v>7</v>
      </c>
      <c r="N35" s="93">
        <f>E19+140</f>
        <v>5700</v>
      </c>
    </row>
    <row r="36" spans="1:14" x14ac:dyDescent="0.25">
      <c r="L36" t="s">
        <v>50</v>
      </c>
      <c r="M36">
        <v>1</v>
      </c>
    </row>
    <row r="37" spans="1:14" x14ac:dyDescent="0.25">
      <c r="L37" t="s">
        <v>53</v>
      </c>
      <c r="M37">
        <v>2</v>
      </c>
      <c r="N37" s="93">
        <f>E21+140</f>
        <v>3220</v>
      </c>
    </row>
    <row r="39" spans="1:14" x14ac:dyDescent="0.25">
      <c r="L39" t="s">
        <v>55</v>
      </c>
      <c r="M39">
        <v>1</v>
      </c>
      <c r="N39" s="93">
        <f>E22+140</f>
        <v>3100</v>
      </c>
    </row>
    <row r="40" spans="1:14" x14ac:dyDescent="0.25">
      <c r="A40" s="82"/>
      <c r="J40" s="84"/>
      <c r="L40" t="s">
        <v>57</v>
      </c>
      <c r="M40">
        <v>1</v>
      </c>
      <c r="N40" s="93">
        <f>E23+140</f>
        <v>3220</v>
      </c>
    </row>
    <row r="41" spans="1:14" x14ac:dyDescent="0.25">
      <c r="L41" t="s">
        <v>59</v>
      </c>
      <c r="M41">
        <v>4</v>
      </c>
      <c r="N41" s="93">
        <f>E24+140</f>
        <v>2800</v>
      </c>
    </row>
    <row r="42" spans="1:14" x14ac:dyDescent="0.25">
      <c r="L42" t="s">
        <v>61</v>
      </c>
      <c r="M42">
        <v>4</v>
      </c>
      <c r="N42" s="93">
        <f>E25+140</f>
        <v>2280</v>
      </c>
    </row>
    <row r="43" spans="1:14" x14ac:dyDescent="0.25">
      <c r="L43" s="93" t="s">
        <v>63</v>
      </c>
      <c r="M43" s="93">
        <v>2</v>
      </c>
      <c r="N43" s="93">
        <f>E26+140</f>
        <v>2580</v>
      </c>
    </row>
    <row r="44" spans="1:14" x14ac:dyDescent="0.25">
      <c r="L44" t="s">
        <v>142</v>
      </c>
      <c r="M44">
        <v>7</v>
      </c>
    </row>
    <row r="45" spans="1:14" x14ac:dyDescent="0.25">
      <c r="L45" t="s">
        <v>65</v>
      </c>
      <c r="M45">
        <v>9</v>
      </c>
      <c r="N45" s="93">
        <f>E28+140</f>
        <v>1600</v>
      </c>
    </row>
  </sheetData>
  <mergeCells count="2">
    <mergeCell ref="C1:G1"/>
    <mergeCell ref="A3:H3"/>
  </mergeCells>
  <phoneticPr fontId="7" type="noConversion"/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>
      <selection activeCell="O29" sqref="A21:O29"/>
    </sheetView>
  </sheetViews>
  <sheetFormatPr defaultRowHeight="15" x14ac:dyDescent="0.25"/>
  <cols>
    <col min="1" max="1" width="9.140625" style="18"/>
    <col min="2" max="2" width="9.140625" style="17"/>
    <col min="3" max="4" width="9.140625" style="16"/>
  </cols>
  <sheetData>
    <row r="1" spans="1:8" x14ac:dyDescent="0.25">
      <c r="C1" s="19" t="s">
        <v>73</v>
      </c>
    </row>
    <row r="2" spans="1:8" x14ac:dyDescent="0.25">
      <c r="A2" s="209" t="s">
        <v>18</v>
      </c>
      <c r="B2" s="17">
        <f>ROUND(0.78*1.76,2)</f>
        <v>1.37</v>
      </c>
      <c r="C2" s="16">
        <v>71</v>
      </c>
      <c r="D2" s="16">
        <f>(B2+B3)*C2</f>
        <v>194.54000000000002</v>
      </c>
      <c r="F2">
        <f>C2*2</f>
        <v>142</v>
      </c>
    </row>
    <row r="3" spans="1:8" x14ac:dyDescent="0.25">
      <c r="A3" s="209"/>
      <c r="B3" s="17">
        <f>B2</f>
        <v>1.37</v>
      </c>
    </row>
    <row r="5" spans="1:8" x14ac:dyDescent="0.25">
      <c r="A5" s="18" t="s">
        <v>21</v>
      </c>
      <c r="B5" s="17">
        <f>ROUND(0.88*1.76,2)</f>
        <v>1.55</v>
      </c>
      <c r="C5" s="16">
        <v>67</v>
      </c>
      <c r="D5" s="16">
        <f>B5*C5</f>
        <v>103.85000000000001</v>
      </c>
      <c r="F5">
        <f>67</f>
        <v>67</v>
      </c>
    </row>
    <row r="7" spans="1:8" x14ac:dyDescent="0.25">
      <c r="A7" s="18" t="s">
        <v>23</v>
      </c>
      <c r="B7" s="17">
        <f>ROUND(0.86*1.76,2)</f>
        <v>1.51</v>
      </c>
      <c r="C7" s="16">
        <v>36</v>
      </c>
      <c r="D7" s="16">
        <f>B7*C7</f>
        <v>54.36</v>
      </c>
      <c r="F7">
        <f>36</f>
        <v>36</v>
      </c>
    </row>
    <row r="9" spans="1:8" x14ac:dyDescent="0.25">
      <c r="A9" s="209" t="s">
        <v>27</v>
      </c>
      <c r="B9" s="17">
        <f>ROUND(0.8*1.76,2)</f>
        <v>1.41</v>
      </c>
      <c r="C9" s="16">
        <v>4</v>
      </c>
      <c r="D9" s="16">
        <f>(B9+B10)*C9</f>
        <v>11.28</v>
      </c>
      <c r="F9">
        <f>4*2</f>
        <v>8</v>
      </c>
    </row>
    <row r="10" spans="1:8" x14ac:dyDescent="0.25">
      <c r="A10" s="209"/>
      <c r="B10" s="17">
        <f>ROUND(0.8*1.76,2)</f>
        <v>1.41</v>
      </c>
    </row>
    <row r="12" spans="1:8" x14ac:dyDescent="0.25">
      <c r="A12" s="209" t="s">
        <v>29</v>
      </c>
      <c r="B12" s="17">
        <f>ROUND(0.83*1.76,2)</f>
        <v>1.46</v>
      </c>
      <c r="C12" s="16">
        <v>60</v>
      </c>
      <c r="D12" s="16">
        <f>(B12+B13+B14)*C12</f>
        <v>262.8</v>
      </c>
      <c r="F12">
        <f>60*3</f>
        <v>180</v>
      </c>
    </row>
    <row r="13" spans="1:8" x14ac:dyDescent="0.25">
      <c r="A13" s="209"/>
      <c r="B13" s="17">
        <f t="shared" ref="B13:B14" si="0">ROUND(0.83*1.76,2)</f>
        <v>1.46</v>
      </c>
    </row>
    <row r="14" spans="1:8" x14ac:dyDescent="0.25">
      <c r="A14" s="209"/>
      <c r="B14" s="17">
        <f t="shared" si="0"/>
        <v>1.46</v>
      </c>
    </row>
    <row r="16" spans="1:8" x14ac:dyDescent="0.25">
      <c r="A16" s="18" t="s">
        <v>33</v>
      </c>
      <c r="B16" s="17">
        <f>ROUND(0.58*1.16,2)</f>
        <v>0.67</v>
      </c>
      <c r="C16" s="16">
        <v>6</v>
      </c>
      <c r="D16" s="16">
        <f>B16*C16</f>
        <v>4.0200000000000005</v>
      </c>
      <c r="F16">
        <f>6</f>
        <v>6</v>
      </c>
      <c r="H16" t="s">
        <v>75</v>
      </c>
    </row>
    <row r="18" spans="1:8" x14ac:dyDescent="0.25">
      <c r="A18" s="209" t="s">
        <v>35</v>
      </c>
      <c r="B18" s="17">
        <f>ROUND(0.83*1.76,2)</f>
        <v>1.46</v>
      </c>
      <c r="C18" s="16">
        <v>4</v>
      </c>
      <c r="D18" s="16">
        <f>(B18+B19)*C18</f>
        <v>11.68</v>
      </c>
      <c r="F18">
        <f>4*2</f>
        <v>8</v>
      </c>
    </row>
    <row r="19" spans="1:8" x14ac:dyDescent="0.25">
      <c r="A19" s="209"/>
      <c r="B19" s="17">
        <f>ROUND(0.83*1.76,2)</f>
        <v>1.46</v>
      </c>
    </row>
    <row r="21" spans="1:8" x14ac:dyDescent="0.25">
      <c r="A21" s="209" t="s">
        <v>37</v>
      </c>
      <c r="B21" s="17">
        <f>ROUND(0.81*1.76,2)</f>
        <v>1.43</v>
      </c>
      <c r="C21" s="16">
        <v>12</v>
      </c>
      <c r="D21" s="16">
        <f>(B21+B22+B23)*C21</f>
        <v>51.480000000000004</v>
      </c>
      <c r="F21">
        <f>12*3</f>
        <v>36</v>
      </c>
    </row>
    <row r="22" spans="1:8" x14ac:dyDescent="0.25">
      <c r="A22" s="209"/>
      <c r="B22" s="17">
        <f t="shared" ref="B22:B23" si="1">ROUND(0.81*1.76,2)</f>
        <v>1.43</v>
      </c>
    </row>
    <row r="23" spans="1:8" x14ac:dyDescent="0.25">
      <c r="A23" s="209"/>
      <c r="B23" s="17">
        <f t="shared" si="1"/>
        <v>1.43</v>
      </c>
    </row>
    <row r="25" spans="1:8" x14ac:dyDescent="0.25">
      <c r="A25" s="18" t="s">
        <v>39</v>
      </c>
      <c r="B25" s="17">
        <f>ROUND(0.86*1.94,2)</f>
        <v>1.67</v>
      </c>
      <c r="C25" s="16">
        <v>13</v>
      </c>
      <c r="D25" s="16">
        <f>B25*C25</f>
        <v>21.71</v>
      </c>
      <c r="F25">
        <f>13</f>
        <v>13</v>
      </c>
      <c r="H25" t="s">
        <v>76</v>
      </c>
    </row>
    <row r="27" spans="1:8" x14ac:dyDescent="0.25">
      <c r="A27" s="209" t="s">
        <v>46</v>
      </c>
      <c r="B27" s="17">
        <f>ROUND(0.53*1.16,2)</f>
        <v>0.61</v>
      </c>
      <c r="C27" s="16">
        <v>1</v>
      </c>
      <c r="D27" s="16">
        <f>(B28+B27)*C27</f>
        <v>1.22</v>
      </c>
      <c r="F27">
        <f>1*2</f>
        <v>2</v>
      </c>
      <c r="H27" t="s">
        <v>76</v>
      </c>
    </row>
    <row r="28" spans="1:8" x14ac:dyDescent="0.25">
      <c r="A28" s="209"/>
      <c r="B28" s="17">
        <f>ROUND(0.53*1.16,2)</f>
        <v>0.61</v>
      </c>
    </row>
    <row r="30" spans="1:8" x14ac:dyDescent="0.25">
      <c r="A30" s="209" t="s">
        <v>48</v>
      </c>
      <c r="B30" s="17">
        <f>ROUND(0.795*1.76,2)</f>
        <v>1.4</v>
      </c>
      <c r="C30" s="16">
        <v>7</v>
      </c>
      <c r="D30" s="16">
        <f>(B30+B31+B32+B33+B34)*C30</f>
        <v>49</v>
      </c>
      <c r="F30">
        <f>7*5</f>
        <v>35</v>
      </c>
    </row>
    <row r="31" spans="1:8" x14ac:dyDescent="0.25">
      <c r="A31" s="209"/>
      <c r="B31" s="17">
        <f>ROUND(0.795*1.76,2)</f>
        <v>1.4</v>
      </c>
    </row>
    <row r="32" spans="1:8" x14ac:dyDescent="0.25">
      <c r="A32" s="209"/>
      <c r="B32" s="17">
        <f>ROUND(0.795*1.76,2)</f>
        <v>1.4</v>
      </c>
    </row>
    <row r="33" spans="1:6" x14ac:dyDescent="0.25">
      <c r="A33" s="209"/>
      <c r="B33" s="17">
        <f>ROUND(0.795*1.76,2)</f>
        <v>1.4</v>
      </c>
    </row>
    <row r="34" spans="1:6" x14ac:dyDescent="0.25">
      <c r="A34" s="209"/>
      <c r="B34" s="17">
        <f>ROUND(0.795*1.76,2)</f>
        <v>1.4</v>
      </c>
    </row>
    <row r="36" spans="1:6" x14ac:dyDescent="0.25">
      <c r="A36" s="209" t="s">
        <v>53</v>
      </c>
      <c r="B36" s="17">
        <f>ROUND(0.77*1.76,2)</f>
        <v>1.36</v>
      </c>
      <c r="C36" s="16">
        <v>2</v>
      </c>
      <c r="D36" s="16">
        <f>(B36+B37)*C36</f>
        <v>5.44</v>
      </c>
      <c r="F36">
        <f>2*2</f>
        <v>4</v>
      </c>
    </row>
    <row r="37" spans="1:6" x14ac:dyDescent="0.25">
      <c r="A37" s="209"/>
      <c r="B37" s="17">
        <f>ROUND(0.77*1.76,2)</f>
        <v>1.36</v>
      </c>
    </row>
    <row r="39" spans="1:6" x14ac:dyDescent="0.25">
      <c r="A39" s="209" t="s">
        <v>55</v>
      </c>
      <c r="B39" s="17">
        <f>ROUND(0.99*1.16,2)</f>
        <v>1.1499999999999999</v>
      </c>
      <c r="C39" s="16">
        <v>1</v>
      </c>
      <c r="D39" s="16">
        <f>(B39+B40)*C39</f>
        <v>2.2999999999999998</v>
      </c>
      <c r="F39">
        <f>1*2</f>
        <v>2</v>
      </c>
    </row>
    <row r="40" spans="1:6" x14ac:dyDescent="0.25">
      <c r="A40" s="209"/>
      <c r="B40" s="17">
        <f>ROUND(0.99*1.16,2)</f>
        <v>1.1499999999999999</v>
      </c>
    </row>
    <row r="42" spans="1:6" x14ac:dyDescent="0.25">
      <c r="A42" s="209" t="s">
        <v>57</v>
      </c>
      <c r="B42" s="17">
        <f>ROUND(0.77*0.83,2)</f>
        <v>0.64</v>
      </c>
      <c r="C42" s="16">
        <v>1</v>
      </c>
      <c r="D42" s="16">
        <f>(B42+B43)*C42</f>
        <v>1.28</v>
      </c>
      <c r="F42">
        <f>1*2</f>
        <v>2</v>
      </c>
    </row>
    <row r="43" spans="1:6" x14ac:dyDescent="0.25">
      <c r="A43" s="209"/>
      <c r="B43" s="17">
        <f>ROUND(0.77*0.83,2)</f>
        <v>0.64</v>
      </c>
    </row>
    <row r="45" spans="1:6" x14ac:dyDescent="0.25">
      <c r="A45" s="209" t="s">
        <v>59</v>
      </c>
      <c r="B45" s="17">
        <f>ROUND(0.89*1.76,2)</f>
        <v>1.57</v>
      </c>
      <c r="C45" s="16">
        <v>4</v>
      </c>
      <c r="D45" s="16">
        <f>(B45+B46)*C45</f>
        <v>12.56</v>
      </c>
      <c r="F45">
        <f>4*2</f>
        <v>8</v>
      </c>
    </row>
    <row r="46" spans="1:6" x14ac:dyDescent="0.25">
      <c r="A46" s="209"/>
      <c r="B46" s="17">
        <f>ROUND(0.89*1.76,2)</f>
        <v>1.57</v>
      </c>
    </row>
    <row r="48" spans="1:6" x14ac:dyDescent="0.25">
      <c r="A48" s="209" t="s">
        <v>61</v>
      </c>
      <c r="B48" s="17">
        <f>ROUND(0.71*1.54,2)</f>
        <v>1.0900000000000001</v>
      </c>
      <c r="C48" s="16">
        <v>4</v>
      </c>
      <c r="D48" s="16">
        <f>(B48+B49+B50)*C48</f>
        <v>13.16</v>
      </c>
      <c r="F48">
        <f>4*3</f>
        <v>12</v>
      </c>
    </row>
    <row r="49" spans="1:6" x14ac:dyDescent="0.25">
      <c r="A49" s="209"/>
      <c r="B49" s="17">
        <f>ROUND(0.72*1.54,2)</f>
        <v>1.1100000000000001</v>
      </c>
    </row>
    <row r="50" spans="1:6" x14ac:dyDescent="0.25">
      <c r="A50" s="209"/>
      <c r="B50" s="17">
        <f>ROUND(0.71*1.54,2)</f>
        <v>1.0900000000000001</v>
      </c>
    </row>
    <row r="52" spans="1:6" x14ac:dyDescent="0.25">
      <c r="A52" s="209" t="s">
        <v>63</v>
      </c>
      <c r="B52" s="17">
        <f>ROUND(0.81*1.94,2)</f>
        <v>1.57</v>
      </c>
      <c r="C52" s="16">
        <v>2</v>
      </c>
      <c r="D52" s="16">
        <f>(B52+B53)*C52</f>
        <v>6.28</v>
      </c>
      <c r="F52">
        <f>2*2</f>
        <v>4</v>
      </c>
    </row>
    <row r="53" spans="1:6" x14ac:dyDescent="0.25">
      <c r="A53" s="209"/>
      <c r="B53" s="17">
        <f>ROUND(0.81*1.94,2)</f>
        <v>1.57</v>
      </c>
    </row>
    <row r="54" spans="1:6" x14ac:dyDescent="0.25">
      <c r="D54" s="16">
        <f>SUM(D2:D52)</f>
        <v>806.95999999999992</v>
      </c>
      <c r="F54">
        <f>SUM(F1:F53)</f>
        <v>565</v>
      </c>
    </row>
  </sheetData>
  <mergeCells count="13">
    <mergeCell ref="A27:A28"/>
    <mergeCell ref="A2:A3"/>
    <mergeCell ref="A9:A10"/>
    <mergeCell ref="A12:A14"/>
    <mergeCell ref="A18:A19"/>
    <mergeCell ref="A21:A23"/>
    <mergeCell ref="A52:A53"/>
    <mergeCell ref="A30:A34"/>
    <mergeCell ref="A36:A37"/>
    <mergeCell ref="A39:A40"/>
    <mergeCell ref="A42:A43"/>
    <mergeCell ref="A45:A46"/>
    <mergeCell ref="A48:A50"/>
  </mergeCells>
  <pageMargins left="0.7" right="0.7" top="0.75" bottom="0.75" header="0.3" footer="0.3"/>
  <pageSetup paperSize="9" orientation="portrait" r:id="rId1"/>
  <ignoredErrors>
    <ignoredError sqref="B4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8"/>
  <sheetViews>
    <sheetView workbookViewId="0">
      <selection activeCell="K19" sqref="K19"/>
    </sheetView>
  </sheetViews>
  <sheetFormatPr defaultRowHeight="15" x14ac:dyDescent="0.25"/>
  <cols>
    <col min="2" max="2" width="0" style="18" hidden="1" customWidth="1"/>
    <col min="3" max="6" width="0" hidden="1" customWidth="1"/>
  </cols>
  <sheetData>
    <row r="2" spans="2:6" x14ac:dyDescent="0.25">
      <c r="B2" s="205"/>
      <c r="C2" s="205"/>
      <c r="E2" t="s">
        <v>77</v>
      </c>
    </row>
    <row r="3" spans="2:6" x14ac:dyDescent="0.25">
      <c r="B3" s="18" t="s">
        <v>18</v>
      </c>
      <c r="C3">
        <v>63</v>
      </c>
      <c r="E3">
        <v>2</v>
      </c>
      <c r="F3">
        <f>C3*E3</f>
        <v>126</v>
      </c>
    </row>
    <row r="4" spans="2:6" x14ac:dyDescent="0.25">
      <c r="B4" s="18" t="s">
        <v>21</v>
      </c>
      <c r="C4">
        <v>60</v>
      </c>
      <c r="E4">
        <v>1</v>
      </c>
      <c r="F4">
        <f t="shared" ref="F4:F17" si="0">C4*E4</f>
        <v>60</v>
      </c>
    </row>
    <row r="5" spans="2:6" x14ac:dyDescent="0.25">
      <c r="B5" s="18" t="s">
        <v>23</v>
      </c>
      <c r="C5">
        <v>36</v>
      </c>
      <c r="E5">
        <v>1</v>
      </c>
      <c r="F5">
        <f t="shared" si="0"/>
        <v>36</v>
      </c>
    </row>
    <row r="6" spans="2:6" x14ac:dyDescent="0.25">
      <c r="B6" s="18" t="s">
        <v>25</v>
      </c>
      <c r="C6">
        <v>3</v>
      </c>
      <c r="E6">
        <v>0</v>
      </c>
      <c r="F6">
        <f t="shared" si="0"/>
        <v>0</v>
      </c>
    </row>
    <row r="7" spans="2:6" x14ac:dyDescent="0.25">
      <c r="B7" s="18" t="s">
        <v>27</v>
      </c>
      <c r="C7">
        <v>4</v>
      </c>
      <c r="E7">
        <v>2</v>
      </c>
      <c r="F7">
        <f t="shared" si="0"/>
        <v>8</v>
      </c>
    </row>
    <row r="8" spans="2:6" x14ac:dyDescent="0.25">
      <c r="B8" s="18" t="s">
        <v>29</v>
      </c>
      <c r="C8">
        <v>57</v>
      </c>
      <c r="E8">
        <v>3</v>
      </c>
      <c r="F8">
        <f t="shared" si="0"/>
        <v>171</v>
      </c>
    </row>
    <row r="9" spans="2:6" x14ac:dyDescent="0.25">
      <c r="B9" s="18" t="s">
        <v>33</v>
      </c>
      <c r="C9">
        <v>4</v>
      </c>
      <c r="E9">
        <v>1</v>
      </c>
      <c r="F9">
        <f t="shared" si="0"/>
        <v>4</v>
      </c>
    </row>
    <row r="10" spans="2:6" x14ac:dyDescent="0.25">
      <c r="B10" s="18" t="s">
        <v>35</v>
      </c>
      <c r="C10">
        <v>4</v>
      </c>
      <c r="E10">
        <v>2</v>
      </c>
      <c r="F10">
        <f t="shared" si="0"/>
        <v>8</v>
      </c>
    </row>
    <row r="11" spans="2:6" x14ac:dyDescent="0.25">
      <c r="B11" s="18" t="s">
        <v>37</v>
      </c>
      <c r="C11">
        <v>12</v>
      </c>
      <c r="E11">
        <v>3</v>
      </c>
      <c r="F11">
        <f t="shared" si="0"/>
        <v>36</v>
      </c>
    </row>
    <row r="12" spans="2:6" x14ac:dyDescent="0.25">
      <c r="B12" s="18" t="s">
        <v>39</v>
      </c>
      <c r="C12">
        <v>6</v>
      </c>
      <c r="E12">
        <v>1</v>
      </c>
      <c r="F12">
        <f t="shared" si="0"/>
        <v>6</v>
      </c>
    </row>
    <row r="13" spans="2:6" x14ac:dyDescent="0.25">
      <c r="B13" s="18" t="s">
        <v>46</v>
      </c>
      <c r="C13">
        <v>1</v>
      </c>
      <c r="E13">
        <v>2</v>
      </c>
      <c r="F13">
        <f t="shared" si="0"/>
        <v>2</v>
      </c>
    </row>
    <row r="14" spans="2:6" x14ac:dyDescent="0.25">
      <c r="B14" s="18" t="s">
        <v>48</v>
      </c>
      <c r="C14">
        <v>7</v>
      </c>
      <c r="E14">
        <v>5</v>
      </c>
      <c r="F14">
        <f t="shared" si="0"/>
        <v>35</v>
      </c>
    </row>
    <row r="15" spans="2:6" x14ac:dyDescent="0.25">
      <c r="B15" s="18" t="s">
        <v>53</v>
      </c>
      <c r="C15">
        <v>2</v>
      </c>
      <c r="E15">
        <v>2</v>
      </c>
      <c r="F15">
        <f t="shared" si="0"/>
        <v>4</v>
      </c>
    </row>
    <row r="16" spans="2:6" x14ac:dyDescent="0.25">
      <c r="B16" s="18" t="s">
        <v>57</v>
      </c>
      <c r="C16">
        <v>1</v>
      </c>
      <c r="E16">
        <v>2</v>
      </c>
      <c r="F16">
        <f t="shared" si="0"/>
        <v>2</v>
      </c>
    </row>
    <row r="17" spans="2:6" x14ac:dyDescent="0.25">
      <c r="B17" s="18" t="s">
        <v>59</v>
      </c>
      <c r="C17">
        <v>4</v>
      </c>
      <c r="E17">
        <v>2</v>
      </c>
      <c r="F17">
        <f t="shared" si="0"/>
        <v>8</v>
      </c>
    </row>
    <row r="18" spans="2:6" x14ac:dyDescent="0.25">
      <c r="C18">
        <f>SUM(C3:C17)</f>
        <v>264</v>
      </c>
      <c r="F18">
        <f>SUM(F3:F17)</f>
        <v>506</v>
      </c>
    </row>
  </sheetData>
  <sheetProtection algorithmName="SHA-512" hashValue="R0O44vzXdrSvby8Q1JEGPDsZHutJfZVVOhK8+oPRfXfHRtU5RqmkCTUgh5Ha4BgZY5cer9HM32/PBj/dOPT8zg==" saltValue="3dE/O1zEKbmRDv0fspTpSQ==" spinCount="100000" sheet="1" objects="1" scenarios="1"/>
  <mergeCells count="1">
    <mergeCell ref="B2:C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ВОР (2)</vt:lpstr>
      <vt:lpstr>Лист1</vt:lpstr>
      <vt:lpstr>Окна послед редакция</vt:lpstr>
      <vt:lpstr>Окна</vt:lpstr>
      <vt:lpstr>Сетка</vt:lpstr>
      <vt:lpstr>Замки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Хамраева Наталья Александровна</cp:lastModifiedBy>
  <cp:lastPrinted>2026-03-27T08:53:16Z</cp:lastPrinted>
  <dcterms:created xsi:type="dcterms:W3CDTF">2015-06-05T18:19:34Z</dcterms:created>
  <dcterms:modified xsi:type="dcterms:W3CDTF">2026-04-16T02:24:00Z</dcterms:modified>
</cp:coreProperties>
</file>