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Производственно-технический отдел\_НОВОСИБИРСК\Сотникова\ВОР\"/>
    </mc:Choice>
  </mc:AlternateContent>
  <xr:revisionPtr revIDLastSave="0" documentId="13_ncr:1_{312AD4F0-4BD2-4860-85AC-2E44B556C2BF}" xr6:coauthVersionLast="47" xr6:coauthVersionMax="47" xr10:uidLastSave="{00000000-0000-0000-0000-000000000000}"/>
  <bookViews>
    <workbookView xWindow="29580" yWindow="780" windowWidth="26535" windowHeight="15240" xr2:uid="{00000000-000D-0000-FFFF-FFFF00000000}"/>
  </bookViews>
  <sheets>
    <sheet name="ВОР" sheetId="2" r:id="rId1"/>
    <sheet name="УМ1-УМ5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2" l="1"/>
  <c r="E15" i="2"/>
  <c r="H42" i="2"/>
  <c r="E722" i="2"/>
  <c r="E723" i="2" s="1"/>
  <c r="E710" i="2"/>
  <c r="E711" i="2" s="1"/>
  <c r="H709" i="2"/>
  <c r="H708" i="2"/>
  <c r="H707" i="2"/>
  <c r="H705" i="2"/>
  <c r="H703" i="2"/>
  <c r="I702" i="2"/>
  <c r="I703" i="2"/>
  <c r="I705" i="2"/>
  <c r="I707" i="2"/>
  <c r="I708" i="2"/>
  <c r="I709" i="2"/>
  <c r="H715" i="2"/>
  <c r="I715" i="2"/>
  <c r="H717" i="2"/>
  <c r="I717" i="2"/>
  <c r="E717" i="2" s="1"/>
  <c r="H719" i="2"/>
  <c r="I719" i="2"/>
  <c r="E719" i="2" s="1"/>
  <c r="H720" i="2"/>
  <c r="I720" i="2"/>
  <c r="H721" i="2"/>
  <c r="I721" i="2"/>
  <c r="E720" i="2" l="1"/>
  <c r="E724" i="2" s="1"/>
  <c r="E725" i="2" s="1"/>
  <c r="E715" i="2"/>
  <c r="E708" i="2"/>
  <c r="E712" i="2" s="1"/>
  <c r="E713" i="2" s="1"/>
  <c r="E705" i="2"/>
  <c r="E707" i="2"/>
  <c r="E703" i="2"/>
  <c r="J690" i="2" l="1"/>
  <c r="J689" i="2"/>
  <c r="J614" i="2"/>
  <c r="J575" i="2"/>
  <c r="J574" i="2"/>
  <c r="J554" i="2"/>
  <c r="J553" i="2"/>
  <c r="J537" i="2"/>
  <c r="J536" i="2"/>
  <c r="J535" i="2"/>
  <c r="J519" i="2"/>
  <c r="J518" i="2"/>
  <c r="J498" i="2"/>
  <c r="J480" i="2"/>
  <c r="J479" i="2"/>
  <c r="J463" i="2"/>
  <c r="J445" i="2"/>
  <c r="J406" i="2"/>
  <c r="J405" i="2"/>
  <c r="J385" i="2"/>
  <c r="J383" i="2"/>
  <c r="J330" i="2"/>
  <c r="J329" i="2"/>
  <c r="J327" i="2"/>
  <c r="J304" i="2"/>
  <c r="J252" i="2"/>
  <c r="J234" i="2"/>
  <c r="J233" i="2"/>
  <c r="J214" i="2"/>
  <c r="J213" i="2"/>
  <c r="J197" i="2"/>
  <c r="J177" i="2"/>
  <c r="E676" i="2"/>
  <c r="E697" i="2"/>
  <c r="E657" i="2"/>
  <c r="E640" i="2"/>
  <c r="E621" i="2"/>
  <c r="E601" i="2"/>
  <c r="E561" i="2"/>
  <c r="E544" i="2"/>
  <c r="E184" i="2"/>
  <c r="E23" i="2"/>
  <c r="E582" i="2"/>
  <c r="E526" i="2"/>
  <c r="E505" i="2"/>
  <c r="E432" i="2"/>
  <c r="E487" i="2"/>
  <c r="E470" i="2"/>
  <c r="E452" i="2"/>
  <c r="E413" i="2"/>
  <c r="E371" i="2"/>
  <c r="E392" i="2"/>
  <c r="E354" i="2"/>
  <c r="E337" i="2"/>
  <c r="E259" i="2"/>
  <c r="E312" i="2"/>
  <c r="E293" i="2"/>
  <c r="E276" i="2"/>
  <c r="E204" i="2"/>
  <c r="E241" i="2"/>
  <c r="E221" i="2"/>
  <c r="E164" i="2"/>
  <c r="E145" i="2"/>
  <c r="E128" i="2"/>
  <c r="E38" i="2"/>
  <c r="H694" i="2"/>
  <c r="H691" i="2"/>
  <c r="H690" i="2"/>
  <c r="H689" i="2"/>
  <c r="H688" i="2"/>
  <c r="H687" i="2"/>
  <c r="H685" i="2"/>
  <c r="H683" i="2"/>
  <c r="H681" i="2"/>
  <c r="H680" i="2"/>
  <c r="H673" i="2"/>
  <c r="H670" i="2"/>
  <c r="E670" i="2" s="1"/>
  <c r="H669" i="2"/>
  <c r="H668" i="2"/>
  <c r="H666" i="2"/>
  <c r="H664" i="2"/>
  <c r="H662" i="2"/>
  <c r="H661" i="2"/>
  <c r="E661" i="2" s="1"/>
  <c r="H654" i="2"/>
  <c r="H651" i="2"/>
  <c r="E651" i="2" s="1"/>
  <c r="H650" i="2"/>
  <c r="H649" i="2"/>
  <c r="H647" i="2"/>
  <c r="H645" i="2"/>
  <c r="H644" i="2"/>
  <c r="E644" i="2" s="1"/>
  <c r="E636" i="2"/>
  <c r="H633" i="2"/>
  <c r="H632" i="2"/>
  <c r="H630" i="2"/>
  <c r="H628" i="2"/>
  <c r="H626" i="2"/>
  <c r="H625" i="2"/>
  <c r="E625" i="2" s="1"/>
  <c r="H618" i="2"/>
  <c r="H615" i="2"/>
  <c r="E615" i="2" s="1"/>
  <c r="H614" i="2"/>
  <c r="H613" i="2"/>
  <c r="H612" i="2"/>
  <c r="H610" i="2"/>
  <c r="H608" i="2"/>
  <c r="H606" i="2"/>
  <c r="E599" i="2"/>
  <c r="E600" i="2" s="1"/>
  <c r="H598" i="2"/>
  <c r="H595" i="2"/>
  <c r="E595" i="2" s="1"/>
  <c r="H594" i="2"/>
  <c r="H593" i="2"/>
  <c r="H591" i="2"/>
  <c r="H589" i="2"/>
  <c r="H587" i="2"/>
  <c r="H586" i="2"/>
  <c r="E586" i="2" s="1"/>
  <c r="H579" i="2"/>
  <c r="H576" i="2"/>
  <c r="E576" i="2" s="1"/>
  <c r="H575" i="2"/>
  <c r="H574" i="2"/>
  <c r="H573" i="2"/>
  <c r="H572" i="2"/>
  <c r="H570" i="2"/>
  <c r="H568" i="2"/>
  <c r="H566" i="2"/>
  <c r="H565" i="2"/>
  <c r="H554" i="2"/>
  <c r="E554" i="2" s="1"/>
  <c r="H558" i="2"/>
  <c r="H555" i="2"/>
  <c r="E555" i="2" s="1"/>
  <c r="H553" i="2"/>
  <c r="H552" i="2"/>
  <c r="H551" i="2"/>
  <c r="H549" i="2"/>
  <c r="H548" i="2"/>
  <c r="E548" i="2" s="1"/>
  <c r="E539" i="2"/>
  <c r="H538" i="2"/>
  <c r="E538" i="2" s="1"/>
  <c r="H537" i="2"/>
  <c r="H536" i="2"/>
  <c r="H535" i="2"/>
  <c r="H533" i="2"/>
  <c r="H531" i="2"/>
  <c r="H530" i="2"/>
  <c r="E530" i="2" s="1"/>
  <c r="E522" i="2"/>
  <c r="E521" i="2"/>
  <c r="H523" i="2"/>
  <c r="H520" i="2"/>
  <c r="E520" i="2" s="1"/>
  <c r="H519" i="2"/>
  <c r="E519" i="2" s="1"/>
  <c r="H518" i="2"/>
  <c r="H517" i="2"/>
  <c r="H516" i="2"/>
  <c r="H514" i="2"/>
  <c r="H512" i="2"/>
  <c r="H510" i="2"/>
  <c r="H509" i="2"/>
  <c r="E509" i="2" s="1"/>
  <c r="H502" i="2"/>
  <c r="H499" i="2"/>
  <c r="E499" i="2" s="1"/>
  <c r="H498" i="2"/>
  <c r="H497" i="2"/>
  <c r="H496" i="2"/>
  <c r="H494" i="2"/>
  <c r="H492" i="2"/>
  <c r="H491" i="2"/>
  <c r="E491" i="2" s="1"/>
  <c r="H484" i="2"/>
  <c r="H481" i="2"/>
  <c r="E481" i="2" s="1"/>
  <c r="H480" i="2"/>
  <c r="E480" i="2" s="1"/>
  <c r="H479" i="2"/>
  <c r="H478" i="2"/>
  <c r="H477" i="2"/>
  <c r="H475" i="2"/>
  <c r="H474" i="2"/>
  <c r="E474" i="2" s="1"/>
  <c r="H467" i="2"/>
  <c r="H464" i="2"/>
  <c r="E464" i="2" s="1"/>
  <c r="H463" i="2"/>
  <c r="H462" i="2"/>
  <c r="H461" i="2"/>
  <c r="H459" i="2"/>
  <c r="H457" i="2"/>
  <c r="H456" i="2"/>
  <c r="E456" i="2" s="1"/>
  <c r="E447" i="2"/>
  <c r="H449" i="2"/>
  <c r="H446" i="2"/>
  <c r="E446" i="2" s="1"/>
  <c r="H445" i="2"/>
  <c r="H444" i="2"/>
  <c r="H443" i="2"/>
  <c r="H441" i="2"/>
  <c r="H439" i="2"/>
  <c r="H437" i="2"/>
  <c r="H436" i="2"/>
  <c r="E436" i="2" s="1"/>
  <c r="E427" i="2"/>
  <c r="H429" i="2"/>
  <c r="H426" i="2"/>
  <c r="E426" i="2" s="1"/>
  <c r="H424" i="2"/>
  <c r="H422" i="2"/>
  <c r="H420" i="2"/>
  <c r="H418" i="2"/>
  <c r="H417" i="2"/>
  <c r="E417" i="2" s="1"/>
  <c r="H410" i="2"/>
  <c r="H407" i="2"/>
  <c r="E407" i="2" s="1"/>
  <c r="H406" i="2"/>
  <c r="E406" i="2" s="1"/>
  <c r="H405" i="2"/>
  <c r="H404" i="2"/>
  <c r="H403" i="2"/>
  <c r="H401" i="2"/>
  <c r="H399" i="2"/>
  <c r="H397" i="2"/>
  <c r="H396" i="2"/>
  <c r="E396" i="2" s="1"/>
  <c r="H389" i="2"/>
  <c r="H386" i="2"/>
  <c r="H385" i="2"/>
  <c r="H384" i="2"/>
  <c r="H383" i="2"/>
  <c r="H382" i="2"/>
  <c r="H380" i="2"/>
  <c r="H378" i="2"/>
  <c r="H376" i="2"/>
  <c r="H375" i="2"/>
  <c r="E375" i="2" s="1"/>
  <c r="E369" i="2"/>
  <c r="H368" i="2"/>
  <c r="H365" i="2"/>
  <c r="E365" i="2" s="1"/>
  <c r="H364" i="2"/>
  <c r="H363" i="2"/>
  <c r="H361" i="2"/>
  <c r="H359" i="2"/>
  <c r="H358" i="2"/>
  <c r="E358" i="2" s="1"/>
  <c r="H351" i="2"/>
  <c r="H348" i="2"/>
  <c r="E348" i="2" s="1"/>
  <c r="H347" i="2"/>
  <c r="H346" i="2"/>
  <c r="H344" i="2"/>
  <c r="H342" i="2"/>
  <c r="H341" i="2"/>
  <c r="E341" i="2" s="1"/>
  <c r="H334" i="2"/>
  <c r="H331" i="2"/>
  <c r="E331" i="2" s="1"/>
  <c r="H330" i="2"/>
  <c r="H329" i="2"/>
  <c r="H327" i="2"/>
  <c r="H326" i="2"/>
  <c r="H325" i="2"/>
  <c r="H323" i="2"/>
  <c r="H321" i="2"/>
  <c r="H319" i="2"/>
  <c r="H317" i="2"/>
  <c r="H316" i="2"/>
  <c r="E316" i="2" s="1"/>
  <c r="H306" i="2"/>
  <c r="H304" i="2"/>
  <c r="H303" i="2"/>
  <c r="H302" i="2"/>
  <c r="H300" i="2"/>
  <c r="H298" i="2"/>
  <c r="H297" i="2"/>
  <c r="E297" i="2" s="1"/>
  <c r="E291" i="2"/>
  <c r="E292" i="2" s="1"/>
  <c r="E289" i="2"/>
  <c r="E288" i="2"/>
  <c r="H280" i="2"/>
  <c r="E280" i="2" s="1"/>
  <c r="H290" i="2"/>
  <c r="H287" i="2"/>
  <c r="E287" i="2" s="1"/>
  <c r="H286" i="2"/>
  <c r="H285" i="2"/>
  <c r="H283" i="2"/>
  <c r="H281" i="2"/>
  <c r="E274" i="2"/>
  <c r="E271" i="2"/>
  <c r="H273" i="2"/>
  <c r="H270" i="2"/>
  <c r="E270" i="2" s="1"/>
  <c r="H269" i="2"/>
  <c r="H268" i="2"/>
  <c r="H266" i="2"/>
  <c r="H264" i="2"/>
  <c r="H263" i="2"/>
  <c r="E263" i="2" s="1"/>
  <c r="E257" i="2"/>
  <c r="E258" i="2" s="1"/>
  <c r="E255" i="2"/>
  <c r="H256" i="2"/>
  <c r="H253" i="2"/>
  <c r="E253" i="2" s="1"/>
  <c r="H252" i="2"/>
  <c r="E252" i="2" s="1"/>
  <c r="H251" i="2"/>
  <c r="H250" i="2"/>
  <c r="H248" i="2"/>
  <c r="H246" i="2"/>
  <c r="H245" i="2"/>
  <c r="E245" i="2" s="1"/>
  <c r="E236" i="2"/>
  <c r="H238" i="2"/>
  <c r="H235" i="2"/>
  <c r="E235" i="2" s="1"/>
  <c r="H234" i="2"/>
  <c r="H233" i="2"/>
  <c r="H232" i="2"/>
  <c r="H230" i="2"/>
  <c r="H228" i="2"/>
  <c r="H226" i="2"/>
  <c r="H225" i="2"/>
  <c r="E225" i="2" s="1"/>
  <c r="E216" i="2"/>
  <c r="H218" i="2"/>
  <c r="H215" i="2"/>
  <c r="E215" i="2" s="1"/>
  <c r="H214" i="2"/>
  <c r="H213" i="2"/>
  <c r="H212" i="2"/>
  <c r="H211" i="2"/>
  <c r="H209" i="2"/>
  <c r="H208" i="2"/>
  <c r="E208" i="2" s="1"/>
  <c r="E202" i="2"/>
  <c r="E200" i="2"/>
  <c r="H169" i="2"/>
  <c r="H168" i="2"/>
  <c r="E168" i="2" s="1"/>
  <c r="E180" i="2"/>
  <c r="E179" i="2"/>
  <c r="E162" i="2"/>
  <c r="E163" i="2" s="1"/>
  <c r="E55" i="2"/>
  <c r="E104" i="2"/>
  <c r="E103" i="2"/>
  <c r="H109" i="2"/>
  <c r="H105" i="2"/>
  <c r="H101" i="2"/>
  <c r="H100" i="2"/>
  <c r="E100" i="2" s="1"/>
  <c r="H99" i="2"/>
  <c r="H98" i="2"/>
  <c r="H96" i="2"/>
  <c r="H92" i="2"/>
  <c r="H88" i="2"/>
  <c r="H84" i="2"/>
  <c r="H83" i="2"/>
  <c r="E83" i="2" s="1"/>
  <c r="H82" i="2"/>
  <c r="H81" i="2"/>
  <c r="H80" i="2"/>
  <c r="H78" i="2"/>
  <c r="H74" i="2"/>
  <c r="H70" i="2"/>
  <c r="E70" i="2" s="1"/>
  <c r="H71" i="2" s="1"/>
  <c r="H66" i="2"/>
  <c r="H65" i="2"/>
  <c r="E65" i="2" s="1"/>
  <c r="H64" i="2"/>
  <c r="H63" i="2"/>
  <c r="H62" i="2"/>
  <c r="H60" i="2"/>
  <c r="E69" i="2"/>
  <c r="E68" i="2"/>
  <c r="H56" i="2"/>
  <c r="E56" i="2" s="1"/>
  <c r="H52" i="2"/>
  <c r="E52" i="2" s="1"/>
  <c r="H53" i="2" s="1"/>
  <c r="H47" i="2"/>
  <c r="E47" i="2" s="1"/>
  <c r="H46" i="2"/>
  <c r="H45" i="2"/>
  <c r="H44" i="2"/>
  <c r="E51" i="2"/>
  <c r="E50" i="2"/>
  <c r="H48" i="2"/>
  <c r="E36" i="2"/>
  <c r="E37" i="2" s="1"/>
  <c r="E33" i="2"/>
  <c r="H35" i="2"/>
  <c r="H32" i="2"/>
  <c r="E32" i="2" s="1"/>
  <c r="H31" i="2"/>
  <c r="H30" i="2"/>
  <c r="H28" i="2"/>
  <c r="H27" i="2"/>
  <c r="E27" i="2" s="1"/>
  <c r="H20" i="2"/>
  <c r="H16" i="2"/>
  <c r="H17" i="2"/>
  <c r="E17" i="2" s="1"/>
  <c r="H13" i="2"/>
  <c r="H11" i="2"/>
  <c r="H10" i="2"/>
  <c r="E10" i="2" s="1"/>
  <c r="E21" i="2"/>
  <c r="E22" i="2" s="1"/>
  <c r="E19" i="2"/>
  <c r="E18" i="2"/>
  <c r="E695" i="2"/>
  <c r="E655" i="2"/>
  <c r="E656" i="2" s="1"/>
  <c r="E638" i="2"/>
  <c r="H634" i="2"/>
  <c r="E634" i="2" s="1"/>
  <c r="E619" i="2"/>
  <c r="E620" i="2" s="1"/>
  <c r="I614" i="2"/>
  <c r="I591" i="2"/>
  <c r="E591" i="2" l="1"/>
  <c r="E614" i="2"/>
  <c r="E214" i="2"/>
  <c r="E330" i="2"/>
  <c r="I570" i="2"/>
  <c r="E570" i="2" s="1"/>
  <c r="E542" i="2"/>
  <c r="H541" i="2"/>
  <c r="H534" i="2"/>
  <c r="E524" i="2"/>
  <c r="E525" i="2" s="1"/>
  <c r="I514" i="2"/>
  <c r="E514" i="2" s="1"/>
  <c r="I494" i="2"/>
  <c r="E494" i="2" s="1"/>
  <c r="E450" i="2"/>
  <c r="E451" i="2" s="1"/>
  <c r="E468" i="2"/>
  <c r="E469" i="2" s="1"/>
  <c r="E465" i="2"/>
  <c r="I459" i="2"/>
  <c r="E459" i="2" s="1"/>
  <c r="I445" i="2"/>
  <c r="E448" i="2"/>
  <c r="I441" i="2"/>
  <c r="E441" i="2" s="1"/>
  <c r="I449" i="2"/>
  <c r="E449" i="2" s="1"/>
  <c r="I444" i="2"/>
  <c r="E444" i="2" s="1"/>
  <c r="I443" i="2"/>
  <c r="E443" i="2" s="1"/>
  <c r="I439" i="2"/>
  <c r="E439" i="2" s="1"/>
  <c r="I437" i="2"/>
  <c r="E437" i="2" s="1"/>
  <c r="H425" i="2"/>
  <c r="I422" i="2"/>
  <c r="E422" i="2" s="1"/>
  <c r="E411" i="2"/>
  <c r="I399" i="2"/>
  <c r="E399" i="2" s="1"/>
  <c r="I401" i="2"/>
  <c r="E401" i="2" s="1"/>
  <c r="I380" i="2"/>
  <c r="E380" i="2" s="1"/>
  <c r="I378" i="2"/>
  <c r="E378" i="2" s="1"/>
  <c r="I361" i="2"/>
  <c r="E361" i="2" s="1"/>
  <c r="I344" i="2"/>
  <c r="E344" i="2" s="1"/>
  <c r="E333" i="2"/>
  <c r="I327" i="2"/>
  <c r="I325" i="2"/>
  <c r="E325" i="2" s="1"/>
  <c r="I323" i="2"/>
  <c r="E323" i="2" s="1"/>
  <c r="I300" i="2"/>
  <c r="I283" i="2"/>
  <c r="E283" i="2" s="1"/>
  <c r="I266" i="2"/>
  <c r="E266" i="2" s="1"/>
  <c r="I248" i="2"/>
  <c r="E248" i="2" s="1"/>
  <c r="I228" i="2"/>
  <c r="E228" i="2" s="1"/>
  <c r="I213" i="2"/>
  <c r="H201" i="2"/>
  <c r="H198" i="2"/>
  <c r="E198" i="2" s="1"/>
  <c r="H196" i="2"/>
  <c r="I196" i="2"/>
  <c r="H193" i="2"/>
  <c r="I193" i="2"/>
  <c r="H189" i="2"/>
  <c r="E182" i="2"/>
  <c r="H177" i="2"/>
  <c r="I177" i="2"/>
  <c r="H181" i="2"/>
  <c r="H178" i="2"/>
  <c r="E178" i="2" s="1"/>
  <c r="H173" i="2"/>
  <c r="I173" i="2"/>
  <c r="H161" i="2"/>
  <c r="E160" i="2"/>
  <c r="E159" i="2"/>
  <c r="H158" i="2"/>
  <c r="E158" i="2" s="1"/>
  <c r="H157" i="2"/>
  <c r="H156" i="2"/>
  <c r="H154" i="2"/>
  <c r="H152" i="2"/>
  <c r="I152" i="2"/>
  <c r="H150" i="2"/>
  <c r="H149" i="2"/>
  <c r="E149" i="2" s="1"/>
  <c r="I161" i="2"/>
  <c r="I157" i="2"/>
  <c r="I156" i="2"/>
  <c r="I154" i="2"/>
  <c r="I150" i="2"/>
  <c r="E335" i="2"/>
  <c r="E336" i="2" s="1"/>
  <c r="I334" i="2"/>
  <c r="E332" i="2"/>
  <c r="I326" i="2"/>
  <c r="E326" i="2" s="1"/>
  <c r="I329" i="2"/>
  <c r="E329" i="2" s="1"/>
  <c r="I321" i="2"/>
  <c r="E321" i="2" s="1"/>
  <c r="I319" i="2"/>
  <c r="E319" i="2" s="1"/>
  <c r="I317" i="2"/>
  <c r="E317" i="2" s="1"/>
  <c r="H135" i="2"/>
  <c r="I135" i="2"/>
  <c r="H118" i="2"/>
  <c r="I118" i="2"/>
  <c r="E108" i="2"/>
  <c r="I96" i="2"/>
  <c r="E96" i="2" s="1"/>
  <c r="E91" i="2"/>
  <c r="I78" i="2"/>
  <c r="E78" i="2" s="1"/>
  <c r="I60" i="2"/>
  <c r="E60" i="2" s="1"/>
  <c r="E73" i="2"/>
  <c r="I42" i="2"/>
  <c r="E42" i="2" s="1"/>
  <c r="I689" i="2"/>
  <c r="E690" i="2"/>
  <c r="E696" i="2"/>
  <c r="E693" i="2"/>
  <c r="E692" i="2"/>
  <c r="E691" i="2"/>
  <c r="I685" i="2"/>
  <c r="E685" i="2" s="1"/>
  <c r="E680" i="2"/>
  <c r="I694" i="2"/>
  <c r="I688" i="2"/>
  <c r="I687" i="2"/>
  <c r="I683" i="2"/>
  <c r="E683" i="2" s="1"/>
  <c r="I681" i="2"/>
  <c r="E674" i="2"/>
  <c r="E675" i="2" s="1"/>
  <c r="E672" i="2"/>
  <c r="E671" i="2"/>
  <c r="I666" i="2"/>
  <c r="E666" i="2" s="1"/>
  <c r="I673" i="2"/>
  <c r="I669" i="2"/>
  <c r="E669" i="2" s="1"/>
  <c r="I668" i="2"/>
  <c r="E668" i="2" s="1"/>
  <c r="I664" i="2"/>
  <c r="E664" i="2" s="1"/>
  <c r="I662" i="2"/>
  <c r="E662" i="2" s="1"/>
  <c r="E653" i="2"/>
  <c r="E652" i="2"/>
  <c r="E173" i="2" l="1"/>
  <c r="E135" i="2"/>
  <c r="E196" i="2"/>
  <c r="E152" i="2"/>
  <c r="E118" i="2"/>
  <c r="E193" i="2"/>
  <c r="E157" i="2"/>
  <c r="E688" i="2"/>
  <c r="E156" i="2"/>
  <c r="E213" i="2"/>
  <c r="E327" i="2"/>
  <c r="E338" i="2" s="1"/>
  <c r="E339" i="2" s="1"/>
  <c r="E150" i="2"/>
  <c r="E445" i="2"/>
  <c r="E453" i="2" s="1"/>
  <c r="E154" i="2"/>
  <c r="E385" i="2"/>
  <c r="E300" i="2"/>
  <c r="E161" i="2"/>
  <c r="E334" i="2"/>
  <c r="E681" i="2"/>
  <c r="E687" i="2"/>
  <c r="E673" i="2"/>
  <c r="E694" i="2"/>
  <c r="I654" i="2"/>
  <c r="E654" i="2" s="1"/>
  <c r="I650" i="2"/>
  <c r="E650" i="2" s="1"/>
  <c r="I649" i="2"/>
  <c r="E649" i="2" s="1"/>
  <c r="I647" i="2"/>
  <c r="E647" i="2" s="1"/>
  <c r="I645" i="2"/>
  <c r="E645" i="2" s="1"/>
  <c r="E639" i="2"/>
  <c r="H637" i="2"/>
  <c r="E635" i="2"/>
  <c r="I637" i="2"/>
  <c r="I633" i="2"/>
  <c r="E633" i="2" s="1"/>
  <c r="I632" i="2"/>
  <c r="E632" i="2" s="1"/>
  <c r="I630" i="2"/>
  <c r="E630" i="2" s="1"/>
  <c r="I628" i="2"/>
  <c r="E628" i="2" s="1"/>
  <c r="I626" i="2"/>
  <c r="E626" i="2" s="1"/>
  <c r="I608" i="2"/>
  <c r="I610" i="2"/>
  <c r="E610" i="2" s="1"/>
  <c r="E617" i="2"/>
  <c r="E616" i="2"/>
  <c r="H605" i="2"/>
  <c r="E605" i="2" s="1"/>
  <c r="I618" i="2"/>
  <c r="E618" i="2" s="1"/>
  <c r="I613" i="2"/>
  <c r="E613" i="2" s="1"/>
  <c r="I612" i="2"/>
  <c r="E612" i="2" s="1"/>
  <c r="I606" i="2"/>
  <c r="E606" i="2" s="1"/>
  <c r="I553" i="2"/>
  <c r="I535" i="2"/>
  <c r="E535" i="2" s="1"/>
  <c r="I536" i="2"/>
  <c r="I518" i="2"/>
  <c r="E518" i="2" s="1"/>
  <c r="I498" i="2"/>
  <c r="E498" i="2" s="1"/>
  <c r="I463" i="2"/>
  <c r="E463" i="2" s="1"/>
  <c r="I405" i="2"/>
  <c r="I383" i="2"/>
  <c r="I304" i="2"/>
  <c r="I234" i="2"/>
  <c r="I218" i="2"/>
  <c r="E218" i="2" s="1"/>
  <c r="E203" i="2"/>
  <c r="H191" i="2"/>
  <c r="H188" i="2"/>
  <c r="E188" i="2" s="1"/>
  <c r="H197" i="2"/>
  <c r="I201" i="2"/>
  <c r="E201" i="2" s="1"/>
  <c r="H195" i="2"/>
  <c r="I195" i="2"/>
  <c r="H175" i="2"/>
  <c r="H171" i="2"/>
  <c r="I181" i="2"/>
  <c r="E181" i="2" s="1"/>
  <c r="H176" i="2"/>
  <c r="I176" i="2"/>
  <c r="I175" i="2"/>
  <c r="E143" i="2"/>
  <c r="E144" i="2" s="1"/>
  <c r="H142" i="2"/>
  <c r="I142" i="2"/>
  <c r="H133" i="2"/>
  <c r="H138" i="2"/>
  <c r="H137" i="2"/>
  <c r="I138" i="2"/>
  <c r="I137" i="2"/>
  <c r="H132" i="2"/>
  <c r="E132" i="2" s="1"/>
  <c r="E126" i="2"/>
  <c r="E127" i="2" s="1"/>
  <c r="H125" i="2"/>
  <c r="I125" i="2"/>
  <c r="H122" i="2"/>
  <c r="E122" i="2" s="1"/>
  <c r="H121" i="2"/>
  <c r="I121" i="2"/>
  <c r="H120" i="2"/>
  <c r="I120" i="2"/>
  <c r="H114" i="2"/>
  <c r="H113" i="2"/>
  <c r="E113" i="2" s="1"/>
  <c r="E121" i="2" l="1"/>
  <c r="E698" i="2"/>
  <c r="E699" i="2" s="1"/>
  <c r="E637" i="2"/>
  <c r="E137" i="2"/>
  <c r="E553" i="2"/>
  <c r="E165" i="2"/>
  <c r="E166" i="2" s="1"/>
  <c r="E120" i="2"/>
  <c r="E175" i="2"/>
  <c r="E677" i="2"/>
  <c r="E678" i="2" s="1"/>
  <c r="E176" i="2"/>
  <c r="E233" i="2"/>
  <c r="E197" i="2"/>
  <c r="E138" i="2"/>
  <c r="E405" i="2"/>
  <c r="E536" i="2"/>
  <c r="E195" i="2"/>
  <c r="E454" i="2"/>
  <c r="E658" i="2"/>
  <c r="E659" i="2" s="1"/>
  <c r="E608" i="2"/>
  <c r="E622" i="2"/>
  <c r="E623" i="2" s="1"/>
  <c r="E142" i="2"/>
  <c r="E125" i="2"/>
  <c r="I98" i="2"/>
  <c r="E98" i="2" s="1"/>
  <c r="I81" i="2"/>
  <c r="I80" i="2"/>
  <c r="I62" i="2"/>
  <c r="I63" i="2"/>
  <c r="E129" i="2" l="1"/>
  <c r="E146" i="2"/>
  <c r="E147" i="2" s="1"/>
  <c r="E80" i="2"/>
  <c r="E205" i="2"/>
  <c r="E206" i="2" s="1"/>
  <c r="E185" i="2"/>
  <c r="E62" i="2"/>
  <c r="E641" i="2"/>
  <c r="E642" i="2" s="1"/>
  <c r="I48" i="2"/>
  <c r="E48" i="2" s="1"/>
  <c r="I45" i="2"/>
  <c r="I44" i="2"/>
  <c r="G24" i="1"/>
  <c r="I35" i="2"/>
  <c r="E35" i="2" s="1"/>
  <c r="I31" i="2"/>
  <c r="E31" i="2" s="1"/>
  <c r="I30" i="2"/>
  <c r="E30" i="2" s="1"/>
  <c r="I20" i="2"/>
  <c r="E20" i="2" s="1"/>
  <c r="I16" i="2"/>
  <c r="E16" i="2" s="1"/>
  <c r="I15" i="2"/>
  <c r="E39" i="2" l="1"/>
  <c r="E40" i="2" s="1"/>
  <c r="E24" i="2"/>
  <c r="E25" i="2" s="1"/>
  <c r="E44" i="2"/>
  <c r="E597" i="2"/>
  <c r="E596" i="2"/>
  <c r="I594" i="2"/>
  <c r="E594" i="2" s="1"/>
  <c r="I589" i="2"/>
  <c r="E589" i="2" s="1"/>
  <c r="I593" i="2"/>
  <c r="E593" i="2" s="1"/>
  <c r="I598" i="2"/>
  <c r="E598" i="2" s="1"/>
  <c r="I587" i="2"/>
  <c r="E587" i="2" s="1"/>
  <c r="E580" i="2"/>
  <c r="E581" i="2" s="1"/>
  <c r="E578" i="2"/>
  <c r="E577" i="2"/>
  <c r="I575" i="2"/>
  <c r="E574" i="2" s="1"/>
  <c r="I568" i="2"/>
  <c r="E565" i="2"/>
  <c r="I579" i="2"/>
  <c r="E579" i="2" s="1"/>
  <c r="I573" i="2"/>
  <c r="E573" i="2" s="1"/>
  <c r="I572" i="2"/>
  <c r="E572" i="2" s="1"/>
  <c r="I566" i="2"/>
  <c r="E559" i="2"/>
  <c r="E560" i="2" s="1"/>
  <c r="E557" i="2"/>
  <c r="E556" i="2"/>
  <c r="I558" i="2"/>
  <c r="E558" i="2" s="1"/>
  <c r="I552" i="2"/>
  <c r="E552" i="2" s="1"/>
  <c r="I551" i="2"/>
  <c r="E551" i="2" s="1"/>
  <c r="I549" i="2"/>
  <c r="E549" i="2" s="1"/>
  <c r="E543" i="2"/>
  <c r="E540" i="2"/>
  <c r="I534" i="2"/>
  <c r="E534" i="2" s="1"/>
  <c r="I541" i="2"/>
  <c r="E541" i="2" s="1"/>
  <c r="I533" i="2"/>
  <c r="E533" i="2" s="1"/>
  <c r="I531" i="2"/>
  <c r="E531" i="2" s="1"/>
  <c r="I517" i="2"/>
  <c r="E517" i="2" s="1"/>
  <c r="I512" i="2"/>
  <c r="E512" i="2" s="1"/>
  <c r="I523" i="2"/>
  <c r="E523" i="2" s="1"/>
  <c r="I516" i="2"/>
  <c r="E516" i="2" s="1"/>
  <c r="I510" i="2"/>
  <c r="E510" i="2" s="1"/>
  <c r="E503" i="2"/>
  <c r="E504" i="2" s="1"/>
  <c r="I502" i="2"/>
  <c r="E502" i="2" s="1"/>
  <c r="E501" i="2"/>
  <c r="E500" i="2"/>
  <c r="I497" i="2"/>
  <c r="E497" i="2" s="1"/>
  <c r="I496" i="2"/>
  <c r="E496" i="2" s="1"/>
  <c r="I492" i="2"/>
  <c r="E492" i="2" s="1"/>
  <c r="E485" i="2"/>
  <c r="E486" i="2" s="1"/>
  <c r="E483" i="2"/>
  <c r="E482" i="2"/>
  <c r="I478" i="2"/>
  <c r="E478" i="2" s="1"/>
  <c r="I484" i="2"/>
  <c r="E484" i="2" s="1"/>
  <c r="I477" i="2"/>
  <c r="E477" i="2" s="1"/>
  <c r="I475" i="2"/>
  <c r="E475" i="2" s="1"/>
  <c r="I479" i="2"/>
  <c r="E466" i="2"/>
  <c r="I467" i="2"/>
  <c r="E467" i="2" s="1"/>
  <c r="I462" i="2"/>
  <c r="E462" i="2" s="1"/>
  <c r="I461" i="2"/>
  <c r="E461" i="2" s="1"/>
  <c r="I457" i="2"/>
  <c r="E457" i="2" s="1"/>
  <c r="E430" i="2"/>
  <c r="E431" i="2" s="1"/>
  <c r="E428" i="2"/>
  <c r="I425" i="2"/>
  <c r="E425" i="2" s="1"/>
  <c r="I420" i="2"/>
  <c r="E420" i="2" s="1"/>
  <c r="I429" i="2"/>
  <c r="E429" i="2" s="1"/>
  <c r="I424" i="2"/>
  <c r="E424" i="2" s="1"/>
  <c r="I418" i="2"/>
  <c r="E418" i="2" s="1"/>
  <c r="E412" i="2"/>
  <c r="E409" i="2"/>
  <c r="E408" i="2"/>
  <c r="I404" i="2"/>
  <c r="E404" i="2" s="1"/>
  <c r="I410" i="2"/>
  <c r="E410" i="2" s="1"/>
  <c r="I403" i="2"/>
  <c r="E403" i="2" s="1"/>
  <c r="I397" i="2"/>
  <c r="E397" i="2" s="1"/>
  <c r="E390" i="2"/>
  <c r="E391" i="2" s="1"/>
  <c r="E388" i="2"/>
  <c r="E387" i="2"/>
  <c r="E386" i="2"/>
  <c r="I384" i="2"/>
  <c r="I389" i="2"/>
  <c r="I382" i="2"/>
  <c r="E382" i="2" s="1"/>
  <c r="I376" i="2"/>
  <c r="E376" i="2" s="1"/>
  <c r="E370" i="2"/>
  <c r="I368" i="2"/>
  <c r="E368" i="2" s="1"/>
  <c r="E367" i="2"/>
  <c r="E366" i="2"/>
  <c r="I364" i="2"/>
  <c r="E364" i="2" s="1"/>
  <c r="I363" i="2"/>
  <c r="E363" i="2" s="1"/>
  <c r="I359" i="2"/>
  <c r="E359" i="2" s="1"/>
  <c r="E352" i="2"/>
  <c r="E353" i="2" s="1"/>
  <c r="I351" i="2"/>
  <c r="E351" i="2" s="1"/>
  <c r="E350" i="2"/>
  <c r="E349" i="2"/>
  <c r="I347" i="2"/>
  <c r="E347" i="2" s="1"/>
  <c r="I346" i="2"/>
  <c r="E346" i="2" s="1"/>
  <c r="I342" i="2"/>
  <c r="E342" i="2" s="1"/>
  <c r="E310" i="2"/>
  <c r="E311" i="2" s="1"/>
  <c r="H309" i="2"/>
  <c r="E306" i="2"/>
  <c r="I309" i="2"/>
  <c r="E308" i="2"/>
  <c r="E307" i="2"/>
  <c r="I303" i="2"/>
  <c r="I302" i="2"/>
  <c r="I298" i="2"/>
  <c r="I290" i="2"/>
  <c r="E290" i="2" s="1"/>
  <c r="I286" i="2"/>
  <c r="E286" i="2" s="1"/>
  <c r="I285" i="2"/>
  <c r="I281" i="2"/>
  <c r="E281" i="2" s="1"/>
  <c r="E275" i="2"/>
  <c r="I273" i="2"/>
  <c r="E273" i="2" s="1"/>
  <c r="E272" i="2"/>
  <c r="I269" i="2"/>
  <c r="E269" i="2" s="1"/>
  <c r="I268" i="2"/>
  <c r="E268" i="2" s="1"/>
  <c r="I264" i="2"/>
  <c r="E264" i="2" s="1"/>
  <c r="E254" i="2"/>
  <c r="I251" i="2"/>
  <c r="E251" i="2" s="1"/>
  <c r="I256" i="2"/>
  <c r="E256" i="2" s="1"/>
  <c r="I250" i="2"/>
  <c r="E250" i="2" s="1"/>
  <c r="I246" i="2"/>
  <c r="E246" i="2" s="1"/>
  <c r="I238" i="2"/>
  <c r="E238" i="2" s="1"/>
  <c r="E239" i="2"/>
  <c r="E240" i="2" s="1"/>
  <c r="E237" i="2"/>
  <c r="I230" i="2"/>
  <c r="E230" i="2" s="1"/>
  <c r="I232" i="2"/>
  <c r="E232" i="2" s="1"/>
  <c r="E242" i="2" s="1"/>
  <c r="E243" i="2" s="1"/>
  <c r="I226" i="2"/>
  <c r="E226" i="2" s="1"/>
  <c r="E219" i="2"/>
  <c r="E220" i="2" s="1"/>
  <c r="E217" i="2"/>
  <c r="I212" i="2"/>
  <c r="E212" i="2" s="1"/>
  <c r="I211" i="2"/>
  <c r="E211" i="2" s="1"/>
  <c r="E355" i="2" l="1"/>
  <c r="E471" i="2"/>
  <c r="E372" i="2"/>
  <c r="E373" i="2" s="1"/>
  <c r="E562" i="2"/>
  <c r="E563" i="2" s="1"/>
  <c r="E527" i="2"/>
  <c r="E528" i="2" s="1"/>
  <c r="E433" i="2"/>
  <c r="E568" i="2"/>
  <c r="E479" i="2"/>
  <c r="E488" i="2" s="1"/>
  <c r="E414" i="2"/>
  <c r="E277" i="2"/>
  <c r="E260" i="2"/>
  <c r="E222" i="2"/>
  <c r="E223" i="2" s="1"/>
  <c r="E506" i="2"/>
  <c r="E545" i="2"/>
  <c r="E546" i="2" s="1"/>
  <c r="E303" i="2"/>
  <c r="E602" i="2"/>
  <c r="E603" i="2" s="1"/>
  <c r="E583" i="2"/>
  <c r="E566" i="2"/>
  <c r="E285" i="2"/>
  <c r="E294" i="2" s="1"/>
  <c r="E302" i="2"/>
  <c r="E389" i="2"/>
  <c r="E384" i="2"/>
  <c r="E393" i="2" s="1"/>
  <c r="E298" i="2"/>
  <c r="E309" i="2"/>
  <c r="E313" i="2" l="1"/>
  <c r="E314" i="2" s="1"/>
  <c r="E584" i="2"/>
  <c r="E507" i="2"/>
  <c r="E472" i="2"/>
  <c r="E434" i="2"/>
  <c r="E489" i="2"/>
  <c r="E295" i="2"/>
  <c r="E261" i="2"/>
  <c r="E415" i="2"/>
  <c r="E278" i="2"/>
  <c r="E356" i="2"/>
  <c r="E394" i="2"/>
  <c r="I209" i="2"/>
  <c r="E209" i="2" s="1"/>
  <c r="E199" i="2"/>
  <c r="I191" i="2"/>
  <c r="E191" i="2" s="1"/>
  <c r="I189" i="2"/>
  <c r="E189" i="2" s="1"/>
  <c r="I171" i="2"/>
  <c r="E171" i="2" s="1"/>
  <c r="E183" i="2"/>
  <c r="I169" i="2"/>
  <c r="E169" i="2" s="1"/>
  <c r="E141" i="2"/>
  <c r="E140" i="2"/>
  <c r="H139" i="2"/>
  <c r="E139" i="2" s="1"/>
  <c r="I133" i="2"/>
  <c r="E133" i="2" s="1"/>
  <c r="E124" i="2"/>
  <c r="E123" i="2"/>
  <c r="I116" i="2"/>
  <c r="H116" i="2"/>
  <c r="I114" i="2"/>
  <c r="E114" i="2" s="1"/>
  <c r="E109" i="2"/>
  <c r="E105" i="2"/>
  <c r="H106" i="2" s="1"/>
  <c r="I101" i="2"/>
  <c r="E101" i="2" s="1"/>
  <c r="I99" i="2"/>
  <c r="E99" i="2" s="1"/>
  <c r="E110" i="2" s="1"/>
  <c r="E111" i="2" s="1"/>
  <c r="E116" i="2" l="1"/>
  <c r="E92" i="2"/>
  <c r="E88" i="2"/>
  <c r="H89" i="2" s="1"/>
  <c r="E87" i="2"/>
  <c r="E86" i="2"/>
  <c r="I84" i="2"/>
  <c r="E84" i="2" s="1"/>
  <c r="I82" i="2"/>
  <c r="E82" i="2" s="1"/>
  <c r="E93" i="2" s="1"/>
  <c r="E74" i="2"/>
  <c r="G29" i="1"/>
  <c r="I66" i="2"/>
  <c r="E66" i="2" s="1"/>
  <c r="I64" i="2"/>
  <c r="E64" i="2" s="1"/>
  <c r="E75" i="2" s="1"/>
  <c r="G34" i="1"/>
  <c r="I46" i="2"/>
  <c r="E46" i="2" s="1"/>
  <c r="E57" i="2" s="1"/>
  <c r="E58" i="2" s="1"/>
  <c r="E32" i="1"/>
  <c r="E28" i="1"/>
  <c r="E31" i="1"/>
  <c r="E30" i="1"/>
  <c r="E27" i="1"/>
  <c r="G36" i="1"/>
  <c r="G28" i="1"/>
  <c r="E186" i="2" l="1"/>
  <c r="E130" i="2"/>
  <c r="E94" i="2"/>
  <c r="E34" i="2"/>
  <c r="G19" i="1"/>
  <c r="G18" i="1"/>
  <c r="H18" i="1" s="1"/>
  <c r="G20" i="1"/>
  <c r="G17" i="1"/>
  <c r="G22" i="1"/>
  <c r="G8" i="1"/>
  <c r="G6" i="1"/>
  <c r="G5" i="1"/>
  <c r="H5" i="1" s="1"/>
  <c r="G16" i="1"/>
  <c r="I28" i="2"/>
  <c r="E28" i="2" s="1"/>
  <c r="G13" i="1"/>
  <c r="E7" i="1"/>
  <c r="G7" i="1"/>
  <c r="I13" i="2"/>
  <c r="E13" i="2" s="1"/>
  <c r="E11" i="1"/>
  <c r="G4" i="1"/>
  <c r="E9" i="1"/>
  <c r="E8" i="1"/>
  <c r="I6" i="1"/>
  <c r="I11" i="2"/>
  <c r="E11" i="2" s="1"/>
  <c r="E5" i="1"/>
  <c r="E76" i="2" l="1"/>
  <c r="H6" i="1" l="1"/>
  <c r="H7" i="1" l="1"/>
  <c r="G60" i="1"/>
  <c r="E55" i="1"/>
  <c r="E54" i="1"/>
  <c r="E52" i="1"/>
  <c r="E51" i="1"/>
  <c r="G48" i="1"/>
  <c r="E43" i="1"/>
  <c r="E42" i="1"/>
  <c r="E40" i="1"/>
  <c r="E39" i="1"/>
  <c r="E19" i="1"/>
  <c r="H19" i="1" s="1"/>
  <c r="G9" i="1"/>
  <c r="G10" i="1" s="1"/>
  <c r="E21" i="1"/>
  <c r="H21" i="1" s="1"/>
  <c r="E20" i="1"/>
  <c r="H20" i="1" s="1"/>
  <c r="E17" i="1"/>
  <c r="H17" i="1" s="1"/>
  <c r="E16" i="1"/>
  <c r="H16" i="1" s="1"/>
  <c r="H11" i="1"/>
  <c r="E4" i="1"/>
  <c r="H4" i="1" l="1"/>
  <c r="H8" i="1"/>
  <c r="H9" i="1"/>
</calcChain>
</file>

<file path=xl/sharedStrings.xml><?xml version="1.0" encoding="utf-8"?>
<sst xmlns="http://schemas.openxmlformats.org/spreadsheetml/2006/main" count="1959" uniqueCount="158">
  <si>
    <t>Швеллер 16У</t>
  </si>
  <si>
    <t>Гнутая арматура 12 А500С, L=680</t>
  </si>
  <si>
    <t>Сетка 4С</t>
  </si>
  <si>
    <t>Арматура 16 А500С</t>
  </si>
  <si>
    <t xml:space="preserve"> -10х190х70</t>
  </si>
  <si>
    <t xml:space="preserve"> -6х160х60</t>
  </si>
  <si>
    <t>Анкер WAM12/100</t>
  </si>
  <si>
    <t>Гнутая арматура 10 А500С, L=550</t>
  </si>
  <si>
    <t>Бетон В20</t>
  </si>
  <si>
    <t>пог.м</t>
  </si>
  <si>
    <t>шт</t>
  </si>
  <si>
    <t>м2</t>
  </si>
  <si>
    <t>Вес ед</t>
  </si>
  <si>
    <t>Проект</t>
  </si>
  <si>
    <t>Вес</t>
  </si>
  <si>
    <t>Уголок 90х6, L=620</t>
  </si>
  <si>
    <t xml:space="preserve"> -6х110х200</t>
  </si>
  <si>
    <t>Уголок 90х6, L=840</t>
  </si>
  <si>
    <t>Арматура 10 А500С, L=335</t>
  </si>
  <si>
    <t>Каркас Кр1</t>
  </si>
  <si>
    <t>Профлист Н75-750-0,8</t>
  </si>
  <si>
    <t>Бетон В20 F100 W2</t>
  </si>
  <si>
    <t>-</t>
  </si>
  <si>
    <t>п/п</t>
  </si>
  <si>
    <t>Наименование</t>
  </si>
  <si>
    <t>Ед.изм.</t>
  </si>
  <si>
    <t>Посчёт</t>
  </si>
  <si>
    <t>м3</t>
  </si>
  <si>
    <t>Кр1</t>
  </si>
  <si>
    <r>
      <t xml:space="preserve">Монолитный участок УМ4 в осях 11/1-12/А-Г 
</t>
    </r>
    <r>
      <rPr>
        <sz val="10"/>
        <color theme="1"/>
        <rFont val="Times New Roman"/>
        <family val="1"/>
        <charset val="204"/>
      </rPr>
      <t>на отм. -0,080, +3,670, +7,420, +11,170, +14,920</t>
    </r>
  </si>
  <si>
    <r>
      <t xml:space="preserve">Монолитный участок УМ1 в осях 5-7/В-Г 
</t>
    </r>
    <r>
      <rPr>
        <sz val="10"/>
        <color theme="1"/>
        <rFont val="Times New Roman"/>
        <family val="1"/>
        <charset val="204"/>
      </rPr>
      <t>на отм. -0,080</t>
    </r>
  </si>
  <si>
    <r>
      <t xml:space="preserve">Монолитный участок УМ2 в осях 11-13/Л-Н 
</t>
    </r>
    <r>
      <rPr>
        <sz val="10"/>
        <color theme="1"/>
        <rFont val="Times New Roman"/>
        <family val="1"/>
        <charset val="204"/>
      </rPr>
      <t>на отм. -0,080</t>
    </r>
  </si>
  <si>
    <r>
      <t xml:space="preserve">Монолитный участок УМ3 в осях 1-5/Г-Г/1 
</t>
    </r>
    <r>
      <rPr>
        <sz val="10"/>
        <color theme="1"/>
        <rFont val="Times New Roman"/>
        <family val="1"/>
        <charset val="204"/>
      </rPr>
      <t>на отм. -0,080, +3,670</t>
    </r>
  </si>
  <si>
    <r>
      <t xml:space="preserve">Монолитный участок УМ5 в осях 12-16/Л/1-Л
</t>
    </r>
    <r>
      <rPr>
        <sz val="10"/>
        <color theme="1"/>
        <rFont val="Times New Roman"/>
        <family val="1"/>
        <charset val="204"/>
      </rPr>
      <t>на отм. -0,080, +3,670, +7,420, +11,170, +14,920</t>
    </r>
  </si>
  <si>
    <t>Объект образования (общеобразовательная школа на 1100 мест) по ул. Николая Сотникова в Кировском районе г.Новосибирска</t>
  </si>
  <si>
    <t>Рабочая документация шифр 7018-КЖ.0 (предварительная выдача)</t>
  </si>
  <si>
    <t>*Расход материалов принять согласно нормам ГЭСН (кроме указанных)</t>
  </si>
  <si>
    <t>№
п/п</t>
  </si>
  <si>
    <t>Наименование работ</t>
  </si>
  <si>
    <t>Ед.изм</t>
  </si>
  <si>
    <t>Объем</t>
  </si>
  <si>
    <t>Примечание</t>
  </si>
  <si>
    <t>Монтаж балок швеллера</t>
  </si>
  <si>
    <r>
      <t xml:space="preserve">Устройство монолитного участка УМ1 в осях 5-7/В-Г на отм. -0,080
</t>
    </r>
    <r>
      <rPr>
        <sz val="10"/>
        <color theme="1"/>
        <rFont val="Times New Roman"/>
        <family val="1"/>
        <charset val="204"/>
      </rPr>
      <t>7018-КЖ.1 л.141-142 (выдача от 14.11.25)</t>
    </r>
  </si>
  <si>
    <t>тн</t>
  </si>
  <si>
    <t>Деталь гнутая  Ø12 А500С, L=680мм</t>
  </si>
  <si>
    <t>Огрунтовка металлических изделий грунтовкой ГФ-021 за 1 раз</t>
  </si>
  <si>
    <t>Окраска металлических огрунтованных поверхностей: эмалью ПФ-115 за 2 раза</t>
  </si>
  <si>
    <t>Установка сеток: в перекрытиях</t>
  </si>
  <si>
    <t>Приварка арматурных деталей к металлическим балкам (к швеллеру)</t>
  </si>
  <si>
    <t>Приварка швом ГОСТ 14098-2014-Н1-Рш</t>
  </si>
  <si>
    <t>Балка из швеллера [16У</t>
  </si>
  <si>
    <t>Деталь гнутая  Ø10 А500С, L=550мм</t>
  </si>
  <si>
    <t>Приварка швом ГОСТ 5264-Н1</t>
  </si>
  <si>
    <t>Установка монтажных элементов массой: до 0,5 кг</t>
  </si>
  <si>
    <t>Установка монтажных элементов массой: свыше 0,75 до 2 кг</t>
  </si>
  <si>
    <t>Сетка 4С Ø5Bpl-100/Ø5Bpl-100</t>
  </si>
  <si>
    <t xml:space="preserve">Установка анкеров в просверленные отверстия </t>
  </si>
  <si>
    <t>Анкер WAM12/100 Tech-Krep</t>
  </si>
  <si>
    <t>Сверление отверстий диаметром 12мм и глубиной 100мм в железобетоне</t>
  </si>
  <si>
    <t>Установка арматуры: в перекрытиях</t>
  </si>
  <si>
    <t>Ø16 А500С</t>
  </si>
  <si>
    <t>Бетонирование перекрытий по стальным балкам толщиной 160 мм</t>
  </si>
  <si>
    <r>
      <t xml:space="preserve">Устройство монолитного участка УМ2 в осях 11-13/Л-Н на отм. -0,080
</t>
    </r>
    <r>
      <rPr>
        <sz val="10"/>
        <color theme="1"/>
        <rFont val="Times New Roman"/>
        <family val="1"/>
        <charset val="204"/>
      </rPr>
      <t>7018-КЖ.1 л.143 (выдача от 14.11.25)</t>
    </r>
  </si>
  <si>
    <t>Бетонирование перекрытий по профлисту высотой 170 мм</t>
  </si>
  <si>
    <t>Монтаж несъемной опалубки из профлиста</t>
  </si>
  <si>
    <t xml:space="preserve">Установка сеток: в монолитном перекрытие по профлисту </t>
  </si>
  <si>
    <t xml:space="preserve">Установка каркасов: в монолитном перекрытие по профлисту </t>
  </si>
  <si>
    <t>Приварка арматурных деталей к железобетонному элементу (ригель)</t>
  </si>
  <si>
    <r>
      <t xml:space="preserve">Устройство монолитного участка УМ12 в осях 13-14/Н на отм. +14,920
</t>
    </r>
    <r>
      <rPr>
        <sz val="10"/>
        <color theme="1"/>
        <rFont val="Times New Roman"/>
        <family val="1"/>
        <charset val="204"/>
      </rPr>
      <t>7018-КЖ.1 л.205 (выдача от 12.12.25)</t>
    </r>
  </si>
  <si>
    <t>Установка монтажных элементов массой: свыше 0,5 кг</t>
  </si>
  <si>
    <t>Уголок L75х6, L=100мм</t>
  </si>
  <si>
    <t>Прокат листовой -6</t>
  </si>
  <si>
    <t>Деталь гнутая  Ø10 А500С, L=155мм</t>
  </si>
  <si>
    <t>Балка из швеллера [18У</t>
  </si>
  <si>
    <t xml:space="preserve"> -10х210х70</t>
  </si>
  <si>
    <r>
      <t xml:space="preserve">Устройство монолитного участка УМ16 в осях 5-7/Б; 10-9/Б; Е-Д/15; Е-Ж/15; К-И/15 на отм. +14,920
</t>
    </r>
    <r>
      <rPr>
        <sz val="10"/>
        <color theme="1"/>
        <rFont val="Times New Roman"/>
        <family val="1"/>
        <charset val="204"/>
      </rPr>
      <t>7018-КЖ.1 л.209 (выдача от 12.12.25)</t>
    </r>
  </si>
  <si>
    <r>
      <t xml:space="preserve">Устройство монолитного участка УМ17 в осях 10-11/Б на отм. +14,920
</t>
    </r>
    <r>
      <rPr>
        <sz val="10"/>
        <color theme="1"/>
        <rFont val="Times New Roman"/>
        <family val="1"/>
        <charset val="204"/>
      </rPr>
      <t>7018-КЖ.1 л.210 (выдача от 12.12.25)</t>
    </r>
  </si>
  <si>
    <r>
      <t xml:space="preserve">Устройство монолитного участка УМ27 в осях 12-14/Б на отм. +14,920
</t>
    </r>
    <r>
      <rPr>
        <sz val="10"/>
        <color theme="1"/>
        <rFont val="Times New Roman"/>
        <family val="1"/>
        <charset val="204"/>
      </rPr>
      <t>7018-КЖ.1 л.219 (выдача от 12.12.25)</t>
    </r>
  </si>
  <si>
    <t>Уголок L75х6</t>
  </si>
  <si>
    <t>Установка монтажных элементов массой: свыше 5 до 20 кг</t>
  </si>
  <si>
    <t>Монтаж опалубки перекрытия</t>
  </si>
  <si>
    <t>Грунтовка ГФ-021. Один слой</t>
  </si>
  <si>
    <t>Эмаль ПФ-112. Два слоя. Объем дан на один слой.</t>
  </si>
  <si>
    <t>Уголок L90х6, L=620мм</t>
  </si>
  <si>
    <t>Уголок L90х6, L=840мм</t>
  </si>
  <si>
    <t>Установка каркаса Кр1 в каждой 4-ой гофре профлиста</t>
  </si>
  <si>
    <t>Комбинированные заклепки Ø4,8</t>
  </si>
  <si>
    <t>Объем профлиста дан без учета нахлеста</t>
  </si>
  <si>
    <t>Уголок L50х5</t>
  </si>
  <si>
    <t>Устройство подливки из ЦПР толщиной 10мм</t>
  </si>
  <si>
    <t>Уголок L75x6</t>
  </si>
  <si>
    <t>Уголок L50x5</t>
  </si>
  <si>
    <r>
      <t xml:space="preserve">Устройство монолитного участка УМ22 в осях 8/П-Р на отм. +11,170
</t>
    </r>
    <r>
      <rPr>
        <sz val="10"/>
        <color theme="1"/>
        <rFont val="Times New Roman"/>
        <family val="1"/>
        <charset val="204"/>
      </rPr>
      <t>7018-КЖ.1 л.214 (выдача от 12.12.25)</t>
    </r>
  </si>
  <si>
    <t>Деталь гнутая  Ø10 А500С, L=200мм</t>
  </si>
  <si>
    <r>
      <t xml:space="preserve">Устройство монолитного участка УМ33 в осях 4/Е-Ж на отм. +11,170
</t>
    </r>
    <r>
      <rPr>
        <sz val="10"/>
        <color theme="1"/>
        <rFont val="Times New Roman"/>
        <family val="1"/>
        <charset val="204"/>
      </rPr>
      <t>7018-КЖ.1 л.225 (выдача от 26.01.26)</t>
    </r>
  </si>
  <si>
    <r>
      <t xml:space="preserve">Устройство монолитного участка УМ34 в осях 2-3/Л на отм. +3,670, +7,420
</t>
    </r>
    <r>
      <rPr>
        <sz val="10"/>
        <color theme="1"/>
        <rFont val="Times New Roman"/>
        <family val="1"/>
        <charset val="204"/>
      </rPr>
      <t>7018-КЖ.1 л.226 (выдача от 26.01.26)</t>
    </r>
  </si>
  <si>
    <r>
      <t xml:space="preserve">Устройство монолитного участка УМ35 в осях 3-4/К-Л на отм.+3,670
</t>
    </r>
    <r>
      <rPr>
        <sz val="10"/>
        <color theme="1"/>
        <rFont val="Times New Roman"/>
        <family val="1"/>
        <charset val="204"/>
      </rPr>
      <t>7018-КЖ.1 л.227 (выдача от 26.01.26)</t>
    </r>
  </si>
  <si>
    <r>
      <t xml:space="preserve">Устройство монолитного участка УМ36 в осях 3-4/Л на отм.+7,420
</t>
    </r>
    <r>
      <rPr>
        <sz val="10"/>
        <color theme="1"/>
        <rFont val="Times New Roman"/>
        <family val="1"/>
        <charset val="204"/>
      </rPr>
      <t>7018-КЖ.1 л.228 (выдача от 26.01.26)</t>
    </r>
  </si>
  <si>
    <r>
      <t xml:space="preserve">Устройство монолитного участка УМ3 в осях 1-5/Г-Г/1 на отм. -0,080, +3,670
</t>
    </r>
    <r>
      <rPr>
        <sz val="10"/>
        <color theme="1"/>
        <rFont val="Times New Roman"/>
        <family val="1"/>
        <charset val="204"/>
      </rPr>
      <t>7018-КЖ.1 л.144-145 (выдача от 26.01.26)</t>
    </r>
  </si>
  <si>
    <t>Деталь гнутая  Ø10 А500С, L=325мм</t>
  </si>
  <si>
    <t>Изоляция пенополистиролом стыка между перекрытием и ж/б ригелем толщиной 30мм</t>
  </si>
  <si>
    <t>Пеноплекс Комфорт t=30мм</t>
  </si>
  <si>
    <r>
      <t xml:space="preserve">Устройство монолитного участка УМ4 в осях 11/1-12/А-Г на отм. -0,080, +3,670, +7,420, +11,170, +14,920 
</t>
    </r>
    <r>
      <rPr>
        <sz val="10"/>
        <color theme="1"/>
        <rFont val="Times New Roman"/>
        <family val="1"/>
        <charset val="204"/>
      </rPr>
      <t>7018-КЖ.1 л.146 (выдача от 26.01.26)</t>
    </r>
  </si>
  <si>
    <r>
      <t xml:space="preserve">Устройство монолитного участка УМ5 в осях 12-16/Л/1-Л на отм. -0,080, +3,670, +7,420, +11,170, +14,920 
</t>
    </r>
    <r>
      <rPr>
        <sz val="10"/>
        <color theme="1"/>
        <rFont val="Times New Roman"/>
        <family val="1"/>
        <charset val="204"/>
      </rPr>
      <t>7018-КЖ.1 л.147 (выдача от 26.01.26)</t>
    </r>
  </si>
  <si>
    <r>
      <t xml:space="preserve">Деталь гнутая  Ø10 А500С, </t>
    </r>
    <r>
      <rPr>
        <sz val="12"/>
        <color theme="8"/>
        <rFont val="Times New Roman"/>
        <family val="1"/>
        <charset val="204"/>
      </rPr>
      <t>L=325мм</t>
    </r>
  </si>
  <si>
    <r>
      <t>Деталь гнутая  Ø10 А500С,</t>
    </r>
    <r>
      <rPr>
        <sz val="12"/>
        <color theme="8"/>
        <rFont val="Times New Roman"/>
        <family val="1"/>
        <charset val="204"/>
      </rPr>
      <t xml:space="preserve"> L=325мм</t>
    </r>
  </si>
  <si>
    <r>
      <t xml:space="preserve">Устройство монолитного участка УМ6 в осях 4-5/Г-Г/1 на отм. +7,420, +11,170
</t>
    </r>
    <r>
      <rPr>
        <sz val="10"/>
        <color theme="1"/>
        <rFont val="Times New Roman"/>
        <family val="1"/>
        <charset val="204"/>
      </rPr>
      <t>7018-КЖ.1 л.148 (выдача от 26.01.26)</t>
    </r>
  </si>
  <si>
    <r>
      <t xml:space="preserve">Устройство монолитного участка УМ7 в осях 5-7/В-Г на отм. +3,670
</t>
    </r>
    <r>
      <rPr>
        <sz val="10"/>
        <color theme="1"/>
        <rFont val="Times New Roman"/>
        <family val="1"/>
        <charset val="204"/>
      </rPr>
      <t>7018-КЖ.1 л.149 (выдача от 26.01.26)</t>
    </r>
  </si>
  <si>
    <t>Приварка швом ГОСТ 5264-Н1-Рш</t>
  </si>
  <si>
    <r>
      <t xml:space="preserve">Устройство монолитного участка УМ8 в осях 4-5/Ж(Е) на отм. +11,170
</t>
    </r>
    <r>
      <rPr>
        <sz val="10"/>
        <color theme="1"/>
        <rFont val="Times New Roman"/>
        <family val="1"/>
        <charset val="204"/>
      </rPr>
      <t>7018-КЖ.1 л.201 (выдача от 26.01.26)</t>
    </r>
  </si>
  <si>
    <t>Установка монтажных элементов массой: свыше 20 кг</t>
  </si>
  <si>
    <r>
      <t xml:space="preserve">Устройство монолитного участка УМ18 в осях 4/Л на отм. +11,170
</t>
    </r>
    <r>
      <rPr>
        <sz val="10"/>
        <color theme="1"/>
        <rFont val="Times New Roman"/>
        <family val="1"/>
        <charset val="204"/>
      </rPr>
      <t>7018-КЖ.1 л.210.1 (выдача от 26.01.26)</t>
    </r>
  </si>
  <si>
    <r>
      <t xml:space="preserve">Устройство монолитного участка УМ9 в осях 4-5/М на отм. +11,170
</t>
    </r>
    <r>
      <rPr>
        <sz val="10"/>
        <color theme="1"/>
        <rFont val="Times New Roman"/>
        <family val="1"/>
        <charset val="204"/>
      </rPr>
      <t>7018-КЖ.1 л.202 (выдача от 26.01.26)</t>
    </r>
  </si>
  <si>
    <r>
      <t xml:space="preserve">Устройство монолитного участка УМ10 в осях 14-15/Л на отм. +11,170
</t>
    </r>
    <r>
      <rPr>
        <sz val="10"/>
        <color theme="1"/>
        <rFont val="Times New Roman"/>
        <family val="1"/>
        <charset val="204"/>
      </rPr>
      <t>7018-КЖ.1 л.203 (выдача от 26.01.26)</t>
    </r>
  </si>
  <si>
    <r>
      <t xml:space="preserve">Устройство монолитного участка УМ11 в осях 14-15/Л на отм. +14,920
</t>
    </r>
    <r>
      <rPr>
        <sz val="10"/>
        <color theme="1"/>
        <rFont val="Times New Roman"/>
        <family val="1"/>
        <charset val="204"/>
      </rPr>
      <t>7018-КЖ.1 л.204 (выдача от 26.01.26)</t>
    </r>
  </si>
  <si>
    <t>Установка монтажных элементов массой: свыше 2 до 5 кг</t>
  </si>
  <si>
    <t>Установка монтажных элементов массой: свыше 0,5 кг до 0,75 кг</t>
  </si>
  <si>
    <r>
      <t xml:space="preserve">Устройство монолитного участка УМ13 в осях 14-15/Б на отм. +14,920
</t>
    </r>
    <r>
      <rPr>
        <sz val="10"/>
        <color theme="1"/>
        <rFont val="Times New Roman"/>
        <family val="1"/>
        <charset val="204"/>
      </rPr>
      <t>7018-КЖ.1 л.206 (выдача от 26.01.26)</t>
    </r>
  </si>
  <si>
    <r>
      <t xml:space="preserve">Устройство монолитного участка УМ14 в осях 1-2/Б; 15/Т-С на отм. +14,920
</t>
    </r>
    <r>
      <rPr>
        <sz val="10"/>
        <color theme="1"/>
        <rFont val="Times New Roman"/>
        <family val="1"/>
        <charset val="204"/>
      </rPr>
      <t>7018-КЖ.1 л.207 (выдача от 26.01.26)</t>
    </r>
  </si>
  <si>
    <r>
      <t xml:space="preserve">Устройство монолитного участка УМ15 в осях 4-5/Б на отм. +14,920
</t>
    </r>
    <r>
      <rPr>
        <sz val="10"/>
        <color theme="1"/>
        <rFont val="Times New Roman"/>
        <family val="1"/>
        <charset val="204"/>
      </rPr>
      <t>7018-КЖ.1 л.208 (выдача от 26.01.26)</t>
    </r>
  </si>
  <si>
    <t>Приварка уголка к металлическим балкам швами: ГОСТ 5264-80-С42, ГОСТ 5264-80-С28, ГОСТ 5264-80-Н1</t>
  </si>
  <si>
    <r>
      <t xml:space="preserve">Устройство монолитного участка УМ19 в осях 15/Г-Д на отм. +14,920
</t>
    </r>
    <r>
      <rPr>
        <sz val="10"/>
        <color theme="1"/>
        <rFont val="Times New Roman"/>
        <family val="1"/>
        <charset val="204"/>
      </rPr>
      <t>7018-КЖ.1 л.211 (выдача от 26.01.26)</t>
    </r>
  </si>
  <si>
    <r>
      <t xml:space="preserve">Устройство монолитного участка УМ20 в осях 15/Р-С на отм. +14,920
</t>
    </r>
    <r>
      <rPr>
        <sz val="10"/>
        <color theme="1"/>
        <rFont val="Times New Roman"/>
        <family val="1"/>
        <charset val="204"/>
      </rPr>
      <t>7018-КЖ.1 л.212 (выдача от 26.01.26)</t>
    </r>
  </si>
  <si>
    <r>
      <t xml:space="preserve">Устройство монолитного участка УМ21 в осях 15/Н-П на отм. +14,920
</t>
    </r>
    <r>
      <rPr>
        <sz val="10"/>
        <color theme="1"/>
        <rFont val="Times New Roman"/>
        <family val="1"/>
        <charset val="204"/>
      </rPr>
      <t>7018-КЖ.1 л.213 (выдача от 26.01.26)</t>
    </r>
  </si>
  <si>
    <r>
      <t xml:space="preserve">Устройство монолитного участка УМ23 в осях 13/Н-П на отм. +11,170
</t>
    </r>
    <r>
      <rPr>
        <sz val="10"/>
        <color theme="1"/>
        <rFont val="Times New Roman"/>
        <family val="1"/>
        <charset val="204"/>
      </rPr>
      <t>7018-КЖ.1 л.216 (выдача от 26.01.26)</t>
    </r>
  </si>
  <si>
    <r>
      <t xml:space="preserve">Устройство монолитного участка УМ24 в осях 4/К-Л на отм. +11,170
</t>
    </r>
    <r>
      <rPr>
        <sz val="10"/>
        <color theme="1"/>
        <rFont val="Times New Roman"/>
        <family val="1"/>
        <charset val="204"/>
      </rPr>
      <t>7018-КЖ.1 л.216 (выдача от 26.01.26)</t>
    </r>
  </si>
  <si>
    <t xml:space="preserve">Бетон В20 </t>
  </si>
  <si>
    <r>
      <t xml:space="preserve">Устройство монолитного участка УМ25 в осях 8-9/Б на отм. +14,920
</t>
    </r>
    <r>
      <rPr>
        <sz val="10"/>
        <color theme="1"/>
        <rFont val="Times New Roman"/>
        <family val="1"/>
        <charset val="204"/>
      </rPr>
      <t>7018-КЖ.1 л.217 (выдача от 26.01.26)</t>
    </r>
  </si>
  <si>
    <r>
      <t xml:space="preserve">Устройство монолитного участка УМ26 в осях 13-14/М на отм. +11,170
</t>
    </r>
    <r>
      <rPr>
        <sz val="10"/>
        <color theme="1"/>
        <rFont val="Times New Roman"/>
        <family val="1"/>
        <charset val="204"/>
      </rPr>
      <t>7018-КЖ.1 л.218 (выдача от 26.01.26)</t>
    </r>
  </si>
  <si>
    <r>
      <t xml:space="preserve">Устройство монолитного участка УМ28 в осях 5-7/В-Г на отм. +14,920
</t>
    </r>
    <r>
      <rPr>
        <sz val="10"/>
        <color theme="1"/>
        <rFont val="Times New Roman"/>
        <family val="1"/>
        <charset val="204"/>
      </rPr>
      <t>7018-КЖ.1 л.220 (выдача от 26.01.26)</t>
    </r>
  </si>
  <si>
    <r>
      <t xml:space="preserve">Устройство монолитного участка УМ29 в осях 13-14/М на отм. +3,670
</t>
    </r>
    <r>
      <rPr>
        <sz val="10"/>
        <color theme="1"/>
        <rFont val="Times New Roman"/>
        <family val="1"/>
        <charset val="204"/>
      </rPr>
      <t>7018-КЖ.1 л.221 (выдача от 26.01.26)</t>
    </r>
  </si>
  <si>
    <r>
      <t xml:space="preserve">Устройство монолитного участка УМ30 в осях 13-14/М на отм. +7,420
</t>
    </r>
    <r>
      <rPr>
        <sz val="10"/>
        <color theme="1"/>
        <rFont val="Times New Roman"/>
        <family val="1"/>
        <charset val="204"/>
      </rPr>
      <t>7018-КЖ.1 л.222 (выдача от 26.01.26)</t>
    </r>
  </si>
  <si>
    <r>
      <t xml:space="preserve">Устройство монолитного участка УМ31 в осях 7-8/П на отм. +3,670, +7,420, +11,170
</t>
    </r>
    <r>
      <rPr>
        <sz val="10"/>
        <color theme="1"/>
        <rFont val="Times New Roman"/>
        <family val="1"/>
        <charset val="204"/>
      </rPr>
      <t>7018-КЖ.1 л.223 (выдача от 26.01.26)</t>
    </r>
  </si>
  <si>
    <r>
      <t xml:space="preserve">Устройство монолитного участка УМ32 в осях 5-7/В-Г на отм. +7,420, +11,170
</t>
    </r>
    <r>
      <rPr>
        <sz val="10"/>
        <color theme="1"/>
        <rFont val="Times New Roman"/>
        <family val="1"/>
        <charset val="204"/>
      </rPr>
      <t>7018-КЖ.1 л.224 (выдача от 26.01.26)</t>
    </r>
  </si>
  <si>
    <r>
      <t xml:space="preserve">Устройство монолитного участка УМ37 в осях 14-15/Л на отм. +7,420
</t>
    </r>
    <r>
      <rPr>
        <sz val="10"/>
        <color theme="1"/>
        <rFont val="Times New Roman"/>
        <family val="1"/>
        <charset val="204"/>
      </rPr>
      <t>7018-КЖ.1 л.229 (выдача от 26.01.26)</t>
    </r>
  </si>
  <si>
    <t xml:space="preserve">Каркас Кр1 </t>
  </si>
  <si>
    <t xml:space="preserve">ЦПР для опирания металлической балки на ригель </t>
  </si>
  <si>
    <t>Приварка арматурных деталей к железобетонному элементу (ригель) и металлической балке (швеллер)</t>
  </si>
  <si>
    <t xml:space="preserve">ЦПР для опирания металлических изделий на железобетонный ригель </t>
  </si>
  <si>
    <t>ЦПР для опирания металлических изделий на железобетонный ригель</t>
  </si>
  <si>
    <t>Приварка арматурной детали к металлической балке и железобетонному элементу</t>
  </si>
  <si>
    <t>Для конструкций принята марка стали С255 по ГОСТ 27772-2021. Сварные соединения выполняются по ГОСТ 5264-80, электроды для сварки Э46А по ГОСТ 9467-75.</t>
  </si>
  <si>
    <t>Монолитные участки перекрытий</t>
  </si>
  <si>
    <t>Монолитные участки внутренних лестниц</t>
  </si>
  <si>
    <t>У1 L75x75x5, L=260мм</t>
  </si>
  <si>
    <t>У1 L75x75x5, L=140мм</t>
  </si>
  <si>
    <t>Ø10 А500С</t>
  </si>
  <si>
    <t>Деталь гнутая П1 Ø10 А500С, L=875мм</t>
  </si>
  <si>
    <t>Приварка арматурных деталей к металлическим балкам (к металлической балке Б2)</t>
  </si>
  <si>
    <t>Деталь гнутая Д1 Ø10 А500С, L=310мм</t>
  </si>
  <si>
    <t>Приварка арматурных деталей к железобетонному элементу (ригель) и к гнутому арматурному изделию (П1)</t>
  </si>
  <si>
    <r>
      <t xml:space="preserve">Устройство монолитного участка УМ2 лестничной клетки в осях 6-7/Т-С </t>
    </r>
    <r>
      <rPr>
        <sz val="12"/>
        <color theme="1"/>
        <rFont val="Times New Roman"/>
        <family val="1"/>
        <charset val="204"/>
      </rPr>
      <t>(тех.под, 1 этаж, 2 этаж)</t>
    </r>
    <r>
      <rPr>
        <b/>
        <sz val="12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7018-КЖ.1 л.92 (выдача от 25.12.25), л.104 (выдача от 18.11.25)</t>
    </r>
  </si>
  <si>
    <t>У1 L75x75x5, L=190мм</t>
  </si>
  <si>
    <t>Приварка арматурных деталей к металлическим балкам (к металлической балке Б1)</t>
  </si>
  <si>
    <r>
      <t xml:space="preserve">Устройство монолитного участка УМ1 лестничной клетки в осях 1-2/Б-В </t>
    </r>
    <r>
      <rPr>
        <sz val="12"/>
        <color theme="1"/>
        <rFont val="Times New Roman"/>
        <family val="1"/>
        <charset val="204"/>
      </rPr>
      <t>(тех.под, 1 этаж, 2 этаж, 3 этаж, 4 этаж)</t>
    </r>
    <r>
      <rPr>
        <b/>
        <sz val="12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7018-КЖ.1 л.82 (выдача от 25.12.25), л.103 (выдача от 18.11.25)</t>
    </r>
  </si>
  <si>
    <t>Ведомость объемов работ №14 от 05.02.26 не учитывает огнезащиту металлических элементов.</t>
  </si>
  <si>
    <t>Ведомость объёмов работ №14 от 05.02.2026г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</si>
</sst>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&quot; шт.&quot;"/>
    <numFmt numFmtId="165" formatCode="0.00&quot; пог.м&quot;"/>
    <numFmt numFmtId="166" formatCode="\m\=0.00&quot; кг/пог.м&quot;"/>
    <numFmt numFmtId="167" formatCode="0.000"/>
    <numFmt numFmtId="168" formatCode="\m\=0.00&quot; кг/шт.&quot;"/>
    <numFmt numFmtId="169" formatCode="0.00&quot; м2&quot;"/>
    <numFmt numFmtId="170" formatCode="\m\=0.00&quot; кг/м2&quot;"/>
    <numFmt numFmtId="171" formatCode="0.00&quot; м3&quot;"/>
    <numFmt numFmtId="172" formatCode="0&quot; шт/м2&quot;"/>
    <numFmt numFmtId="173" formatCode="0.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3" fillId="0" borderId="0" xfId="0" applyFont="1"/>
    <xf numFmtId="164" fontId="1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9" fontId="1" fillId="0" borderId="1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65" fontId="1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1" fillId="0" borderId="0" xfId="0" applyNumberFormat="1" applyFont="1" applyBorder="1" applyAlignment="1">
      <alignment horizontal="center" vertical="center"/>
    </xf>
    <xf numFmtId="167" fontId="1" fillId="0" borderId="12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2" fontId="1" fillId="0" borderId="21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9" fontId="1" fillId="0" borderId="3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167" fontId="1" fillId="0" borderId="25" xfId="0" applyNumberFormat="1" applyFont="1" applyFill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166" fontId="1" fillId="0" borderId="26" xfId="0" applyNumberFormat="1" applyFont="1" applyBorder="1" applyAlignment="1">
      <alignment horizontal="left" vertical="center"/>
    </xf>
    <xf numFmtId="168" fontId="1" fillId="0" borderId="28" xfId="0" applyNumberFormat="1" applyFont="1" applyBorder="1" applyAlignment="1">
      <alignment horizontal="left" vertical="center"/>
    </xf>
    <xf numFmtId="168" fontId="1" fillId="0" borderId="31" xfId="0" applyNumberFormat="1" applyFont="1" applyBorder="1" applyAlignment="1">
      <alignment horizontal="left" vertical="center"/>
    </xf>
    <xf numFmtId="168" fontId="1" fillId="0" borderId="33" xfId="0" applyNumberFormat="1" applyFont="1" applyBorder="1" applyAlignment="1">
      <alignment horizontal="left" vertical="center"/>
    </xf>
    <xf numFmtId="166" fontId="1" fillId="0" borderId="33" xfId="0" applyNumberFormat="1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/>
    </xf>
    <xf numFmtId="2" fontId="1" fillId="0" borderId="36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vertical="center" wrapText="1"/>
    </xf>
    <xf numFmtId="166" fontId="1" fillId="0" borderId="30" xfId="0" applyNumberFormat="1" applyFont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/>
    </xf>
    <xf numFmtId="168" fontId="1" fillId="0" borderId="30" xfId="0" applyNumberFormat="1" applyFont="1" applyBorder="1" applyAlignment="1">
      <alignment horizontal="left" vertical="center"/>
    </xf>
    <xf numFmtId="170" fontId="1" fillId="0" borderId="31" xfId="0" applyNumberFormat="1" applyFont="1" applyBorder="1" applyAlignment="1">
      <alignment horizontal="left" vertical="center"/>
    </xf>
    <xf numFmtId="172" fontId="1" fillId="0" borderId="28" xfId="0" applyNumberFormat="1" applyFont="1" applyBorder="1" applyAlignment="1">
      <alignment horizontal="left" vertical="center"/>
    </xf>
    <xf numFmtId="170" fontId="1" fillId="0" borderId="33" xfId="0" applyNumberFormat="1" applyFont="1" applyBorder="1" applyAlignment="1">
      <alignment horizontal="left" vertical="center"/>
    </xf>
    <xf numFmtId="166" fontId="1" fillId="0" borderId="28" xfId="0" applyNumberFormat="1" applyFont="1" applyBorder="1" applyAlignment="1">
      <alignment horizontal="left" vertical="center"/>
    </xf>
    <xf numFmtId="169" fontId="1" fillId="0" borderId="7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7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173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 vertical="center"/>
    </xf>
    <xf numFmtId="166" fontId="1" fillId="0" borderId="31" xfId="0" applyNumberFormat="1" applyFont="1" applyBorder="1" applyAlignment="1">
      <alignment horizontal="left" vertical="center"/>
    </xf>
    <xf numFmtId="170" fontId="1" fillId="0" borderId="3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/>
    </xf>
    <xf numFmtId="2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/>
    <xf numFmtId="2" fontId="1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7" fontId="1" fillId="0" borderId="21" xfId="0" applyNumberFormat="1" applyFont="1" applyBorder="1" applyAlignment="1">
      <alignment horizontal="center" vertical="center"/>
    </xf>
    <xf numFmtId="167" fontId="1" fillId="0" borderId="1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7" fontId="1" fillId="0" borderId="1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2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73" fontId="1" fillId="0" borderId="21" xfId="0" applyNumberFormat="1" applyFont="1" applyBorder="1" applyAlignment="1">
      <alignment horizontal="center" vertical="center"/>
    </xf>
    <xf numFmtId="173" fontId="1" fillId="0" borderId="12" xfId="0" applyNumberFormat="1" applyFont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173" fontId="1" fillId="0" borderId="11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173" fontId="1" fillId="0" borderId="1" xfId="0" applyNumberFormat="1" applyFont="1" applyBorder="1" applyAlignment="1">
      <alignment horizontal="center" vertical="center"/>
    </xf>
    <xf numFmtId="167" fontId="1" fillId="0" borderId="21" xfId="0" applyNumberFormat="1" applyFont="1" applyFill="1" applyBorder="1" applyAlignment="1">
      <alignment horizontal="center" vertical="center"/>
    </xf>
    <xf numFmtId="167" fontId="1" fillId="0" borderId="11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left"/>
    </xf>
    <xf numFmtId="171" fontId="1" fillId="0" borderId="10" xfId="0" applyNumberFormat="1" applyFont="1" applyBorder="1" applyAlignment="1">
      <alignment horizontal="left" vertical="center"/>
    </xf>
    <xf numFmtId="171" fontId="1" fillId="0" borderId="33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8" xfId="0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167" fontId="1" fillId="0" borderId="2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167" fontId="1" fillId="0" borderId="2" xfId="0" applyNumberFormat="1" applyFont="1" applyFill="1" applyBorder="1" applyAlignment="1">
      <alignment horizontal="center" vertical="center"/>
    </xf>
    <xf numFmtId="167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188739</xdr:colOff>
      <xdr:row>295</xdr:row>
      <xdr:rowOff>204427</xdr:rowOff>
    </xdr:from>
    <xdr:to>
      <xdr:col>18</xdr:col>
      <xdr:colOff>398868</xdr:colOff>
      <xdr:row>309</xdr:row>
      <xdr:rowOff>137476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F0F9E16-C862-C7F5-6C68-C7934A171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0121" y="67327662"/>
          <a:ext cx="5263982" cy="3182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6"/>
  <sheetViews>
    <sheetView tabSelected="1" zoomScaleNormal="100" workbookViewId="0">
      <pane xSplit="9" ySplit="7" topLeftCell="J686" activePane="bottomRight" state="frozen"/>
      <selection pane="topRight" activeCell="K1" sqref="K1"/>
      <selection pane="bottomLeft" activeCell="A6" sqref="A6"/>
      <selection pane="bottomRight" activeCell="C698" sqref="C698"/>
    </sheetView>
  </sheetViews>
  <sheetFormatPr defaultRowHeight="15" x14ac:dyDescent="0.25"/>
  <cols>
    <col min="1" max="1" width="4.5703125" style="23" customWidth="1"/>
    <col min="2" max="2" width="8.42578125" style="27" customWidth="1"/>
    <col min="3" max="3" width="78.5703125" style="23" customWidth="1"/>
    <col min="4" max="4" width="9.140625" style="23"/>
    <col min="5" max="5" width="12.7109375" style="25" customWidth="1"/>
    <col min="6" max="6" width="24.85546875" style="23" customWidth="1"/>
    <col min="7" max="7" width="16.28515625" style="23" customWidth="1"/>
    <col min="8" max="8" width="14" style="23" customWidth="1"/>
    <col min="9" max="9" width="23.85546875" style="23" customWidth="1"/>
    <col min="10" max="10" width="10.42578125" style="101" customWidth="1"/>
    <col min="11" max="11" width="9.140625" style="70"/>
    <col min="12" max="12" width="11.140625" style="23" bestFit="1" customWidth="1"/>
    <col min="13" max="13" width="10.28515625" style="23" bestFit="1" customWidth="1"/>
    <col min="14" max="16384" width="9.140625" style="23"/>
  </cols>
  <sheetData>
    <row r="1" spans="2:12" ht="18.75" x14ac:dyDescent="0.25">
      <c r="B1" s="183" t="s">
        <v>157</v>
      </c>
      <c r="C1" s="183"/>
      <c r="D1" s="183"/>
      <c r="E1" s="183"/>
      <c r="F1" s="183"/>
      <c r="G1" s="183"/>
      <c r="H1" s="183"/>
      <c r="I1" s="183"/>
      <c r="J1" s="99"/>
    </row>
    <row r="2" spans="2:12" ht="18.75" customHeight="1" x14ac:dyDescent="0.25">
      <c r="B2" s="182" t="s">
        <v>34</v>
      </c>
      <c r="C2" s="182"/>
      <c r="D2" s="182"/>
      <c r="E2" s="182"/>
      <c r="F2" s="182"/>
      <c r="G2" s="182"/>
      <c r="H2" s="182"/>
      <c r="I2" s="182"/>
      <c r="J2" s="100"/>
    </row>
    <row r="3" spans="2:12" ht="15.75" x14ac:dyDescent="0.25">
      <c r="B3" s="181" t="s">
        <v>35</v>
      </c>
      <c r="C3" s="181"/>
      <c r="D3" s="181"/>
      <c r="E3" s="181"/>
      <c r="F3" s="181"/>
      <c r="G3" s="181"/>
      <c r="H3" s="181"/>
      <c r="I3" s="181"/>
      <c r="J3" s="108"/>
      <c r="K3" s="108"/>
      <c r="L3" s="108"/>
    </row>
    <row r="4" spans="2:12" ht="15.75" x14ac:dyDescent="0.25">
      <c r="B4" s="18" t="s">
        <v>36</v>
      </c>
      <c r="C4" s="18"/>
      <c r="D4" s="2"/>
      <c r="E4" s="2"/>
      <c r="F4" s="2"/>
    </row>
    <row r="5" spans="2:12" ht="15.75" x14ac:dyDescent="0.25">
      <c r="B5" s="198" t="s">
        <v>142</v>
      </c>
      <c r="C5" s="198"/>
      <c r="D5" s="198"/>
      <c r="E5" s="198"/>
      <c r="F5" s="198"/>
      <c r="G5" s="198"/>
      <c r="H5" s="198"/>
      <c r="I5" s="198"/>
    </row>
    <row r="6" spans="2:12" ht="16.5" thickBot="1" x14ac:dyDescent="0.3">
      <c r="B6" s="198" t="s">
        <v>156</v>
      </c>
      <c r="C6" s="198"/>
      <c r="D6" s="198"/>
      <c r="E6" s="198"/>
      <c r="F6" s="198"/>
      <c r="G6" s="198"/>
      <c r="H6" s="198"/>
      <c r="I6" s="198"/>
    </row>
    <row r="7" spans="2:12" ht="33" thickTop="1" thickBot="1" x14ac:dyDescent="0.3">
      <c r="B7" s="20" t="s">
        <v>37</v>
      </c>
      <c r="C7" s="91" t="s">
        <v>38</v>
      </c>
      <c r="D7" s="91" t="s">
        <v>39</v>
      </c>
      <c r="E7" s="91" t="s">
        <v>40</v>
      </c>
      <c r="F7" s="179" t="s">
        <v>41</v>
      </c>
      <c r="G7" s="179"/>
      <c r="H7" s="179"/>
      <c r="I7" s="180"/>
      <c r="J7" s="102"/>
    </row>
    <row r="8" spans="2:12" ht="24" customHeight="1" thickTop="1" thickBot="1" x14ac:dyDescent="0.3">
      <c r="B8" s="199" t="s">
        <v>143</v>
      </c>
      <c r="C8" s="200"/>
      <c r="D8" s="200"/>
      <c r="E8" s="200"/>
      <c r="F8" s="200"/>
      <c r="G8" s="200"/>
      <c r="H8" s="200"/>
      <c r="I8" s="201"/>
      <c r="J8" s="102"/>
    </row>
    <row r="9" spans="2:12" ht="30.75" customHeight="1" thickTop="1" thickBot="1" x14ac:dyDescent="0.3">
      <c r="B9" s="109" t="s">
        <v>43</v>
      </c>
      <c r="C9" s="110"/>
      <c r="D9" s="110"/>
      <c r="E9" s="110"/>
      <c r="F9" s="110"/>
      <c r="G9" s="110"/>
      <c r="H9" s="110"/>
      <c r="I9" s="21">
        <v>1</v>
      </c>
      <c r="J9" s="103"/>
    </row>
    <row r="10" spans="2:12" ht="19.5" customHeight="1" thickTop="1" x14ac:dyDescent="0.25">
      <c r="B10" s="46">
        <v>1</v>
      </c>
      <c r="C10" s="47" t="s">
        <v>42</v>
      </c>
      <c r="D10" s="48" t="s">
        <v>44</v>
      </c>
      <c r="E10" s="49">
        <f>ROUND(H10*I10/1000,3)</f>
        <v>0.192</v>
      </c>
      <c r="F10" s="159" t="s">
        <v>51</v>
      </c>
      <c r="G10" s="160"/>
      <c r="H10" s="50">
        <f>(2.41+3.19+2.3+3.19+2.41)*I9</f>
        <v>13.5</v>
      </c>
      <c r="I10" s="51">
        <v>14.2</v>
      </c>
      <c r="J10" s="98"/>
    </row>
    <row r="11" spans="2:12" ht="14.25" customHeight="1" x14ac:dyDescent="0.25">
      <c r="B11" s="113">
        <v>2</v>
      </c>
      <c r="C11" s="115" t="s">
        <v>49</v>
      </c>
      <c r="D11" s="117" t="s">
        <v>44</v>
      </c>
      <c r="E11" s="119">
        <f>ROUND((I11*H11)/1000,3)</f>
        <v>2.9000000000000001E-2</v>
      </c>
      <c r="F11" s="151" t="s">
        <v>45</v>
      </c>
      <c r="G11" s="152"/>
      <c r="H11" s="26">
        <f>(ROUNDUP(((2.3-0.01-0.01)/0.2)+((2.41-0.01-0.01)/0.2),0)*2)*I9</f>
        <v>48</v>
      </c>
      <c r="I11" s="52">
        <f>ROUND(0.68*0.888,2)</f>
        <v>0.6</v>
      </c>
      <c r="J11" s="98"/>
      <c r="K11" s="94"/>
    </row>
    <row r="12" spans="2:12" ht="14.25" customHeight="1" x14ac:dyDescent="0.25">
      <c r="B12" s="114"/>
      <c r="C12" s="116"/>
      <c r="D12" s="118"/>
      <c r="E12" s="120"/>
      <c r="F12" s="127" t="s">
        <v>50</v>
      </c>
      <c r="G12" s="128"/>
      <c r="H12" s="128"/>
      <c r="I12" s="129"/>
      <c r="J12" s="98"/>
    </row>
    <row r="13" spans="2:12" ht="15.75" customHeight="1" x14ac:dyDescent="0.25">
      <c r="B13" s="113">
        <v>3</v>
      </c>
      <c r="C13" s="115" t="s">
        <v>68</v>
      </c>
      <c r="D13" s="131" t="s">
        <v>44</v>
      </c>
      <c r="E13" s="132">
        <f>ROUND((I13*H13)/1000,3)</f>
        <v>1E-3</v>
      </c>
      <c r="F13" s="111" t="s">
        <v>52</v>
      </c>
      <c r="G13" s="112"/>
      <c r="H13" s="19">
        <f>2*I9</f>
        <v>2</v>
      </c>
      <c r="I13" s="53">
        <f>ROUND(0.55*0.617,2)</f>
        <v>0.34</v>
      </c>
      <c r="J13" s="98"/>
    </row>
    <row r="14" spans="2:12" ht="16.5" customHeight="1" x14ac:dyDescent="0.25">
      <c r="B14" s="114"/>
      <c r="C14" s="116"/>
      <c r="D14" s="118"/>
      <c r="E14" s="120"/>
      <c r="F14" s="127" t="s">
        <v>53</v>
      </c>
      <c r="G14" s="128"/>
      <c r="H14" s="128"/>
      <c r="I14" s="129"/>
      <c r="J14" s="98"/>
    </row>
    <row r="15" spans="2:12" ht="15.75" x14ac:dyDescent="0.25">
      <c r="B15" s="80">
        <v>4</v>
      </c>
      <c r="C15" s="33" t="s">
        <v>54</v>
      </c>
      <c r="D15" s="86" t="s">
        <v>44</v>
      </c>
      <c r="E15" s="86">
        <f>ROUND((H15*I15)/1000,3)</f>
        <v>2E-3</v>
      </c>
      <c r="F15" s="121" t="s">
        <v>5</v>
      </c>
      <c r="G15" s="122"/>
      <c r="H15" s="24">
        <f>5*I9</f>
        <v>5</v>
      </c>
      <c r="I15" s="54">
        <f>ROUND(0.16*0.06*0.006*7850,2)</f>
        <v>0.45</v>
      </c>
      <c r="J15" s="98"/>
    </row>
    <row r="16" spans="2:12" ht="15.75" x14ac:dyDescent="0.25">
      <c r="B16" s="80">
        <v>5</v>
      </c>
      <c r="C16" s="33" t="s">
        <v>55</v>
      </c>
      <c r="D16" s="86" t="s">
        <v>44</v>
      </c>
      <c r="E16" s="86">
        <f>ROUND((H16*I16)/1000,3)</f>
        <v>6.0000000000000001E-3</v>
      </c>
      <c r="F16" s="121" t="s">
        <v>4</v>
      </c>
      <c r="G16" s="122"/>
      <c r="H16" s="26">
        <f>6*I9</f>
        <v>6</v>
      </c>
      <c r="I16" s="53">
        <f>ROUND(0.19*0.07*0.01*7850,2)</f>
        <v>1.04</v>
      </c>
      <c r="J16" s="98"/>
    </row>
    <row r="17" spans="2:11" ht="15.75" x14ac:dyDescent="0.25">
      <c r="B17" s="80">
        <v>6</v>
      </c>
      <c r="C17" s="33" t="s">
        <v>48</v>
      </c>
      <c r="D17" s="86" t="s">
        <v>44</v>
      </c>
      <c r="E17" s="89">
        <f>ROUND((I17*H17)/1000,3)</f>
        <v>1.7000000000000001E-2</v>
      </c>
      <c r="F17" s="121" t="s">
        <v>56</v>
      </c>
      <c r="G17" s="122"/>
      <c r="H17" s="28">
        <f>ROUND((2.3-0.01-0.01)*(2.41-0.01-0.01),2)*I9</f>
        <v>5.45</v>
      </c>
      <c r="I17" s="67">
        <v>3.17</v>
      </c>
      <c r="J17" s="98"/>
    </row>
    <row r="18" spans="2:11" ht="15.75" x14ac:dyDescent="0.25">
      <c r="B18" s="80">
        <v>7</v>
      </c>
      <c r="C18" s="88" t="s">
        <v>59</v>
      </c>
      <c r="D18" s="86" t="s">
        <v>10</v>
      </c>
      <c r="E18" s="86">
        <f>5*I9</f>
        <v>5</v>
      </c>
      <c r="F18" s="133" t="s">
        <v>22</v>
      </c>
      <c r="G18" s="134"/>
      <c r="H18" s="134"/>
      <c r="I18" s="135"/>
      <c r="J18" s="98"/>
    </row>
    <row r="19" spans="2:11" ht="15.75" x14ac:dyDescent="0.25">
      <c r="B19" s="80">
        <v>8</v>
      </c>
      <c r="C19" s="88" t="s">
        <v>57</v>
      </c>
      <c r="D19" s="86" t="s">
        <v>10</v>
      </c>
      <c r="E19" s="86">
        <f>5*I9</f>
        <v>5</v>
      </c>
      <c r="F19" s="143" t="s">
        <v>58</v>
      </c>
      <c r="G19" s="143"/>
      <c r="H19" s="143"/>
      <c r="I19" s="144"/>
      <c r="J19" s="104"/>
    </row>
    <row r="20" spans="2:11" ht="15.75" x14ac:dyDescent="0.25">
      <c r="B20" s="80">
        <v>9</v>
      </c>
      <c r="C20" s="33" t="s">
        <v>60</v>
      </c>
      <c r="D20" s="86" t="s">
        <v>44</v>
      </c>
      <c r="E20" s="86">
        <f>ROUND((I20*H20)/1000,3)</f>
        <v>8.8999999999999996E-2</v>
      </c>
      <c r="F20" s="121" t="s">
        <v>61</v>
      </c>
      <c r="G20" s="122"/>
      <c r="H20" s="22">
        <f>ROUND((2.3-0.01-0.01)*12+(2.41-0.01-0.01)*12,2)*I9</f>
        <v>56.04</v>
      </c>
      <c r="I20" s="55">
        <f>ROUND(1.578,2)</f>
        <v>1.58</v>
      </c>
      <c r="J20" s="98"/>
    </row>
    <row r="21" spans="2:11" ht="15.75" x14ac:dyDescent="0.25">
      <c r="B21" s="80">
        <v>10</v>
      </c>
      <c r="C21" s="33" t="s">
        <v>62</v>
      </c>
      <c r="D21" s="86" t="s">
        <v>27</v>
      </c>
      <c r="E21" s="86">
        <f>ROUND((2.41*2.3*0.16),2)*I9</f>
        <v>0.89</v>
      </c>
      <c r="F21" s="121" t="s">
        <v>8</v>
      </c>
      <c r="G21" s="122"/>
      <c r="H21" s="122"/>
      <c r="I21" s="123"/>
      <c r="J21" s="104"/>
    </row>
    <row r="22" spans="2:11" ht="15.75" x14ac:dyDescent="0.25">
      <c r="B22" s="80">
        <v>11</v>
      </c>
      <c r="C22" s="88" t="s">
        <v>81</v>
      </c>
      <c r="D22" s="86" t="s">
        <v>11</v>
      </c>
      <c r="E22" s="4">
        <f>E21/0.16</f>
        <v>5.5625</v>
      </c>
      <c r="F22" s="121" t="s">
        <v>22</v>
      </c>
      <c r="G22" s="122"/>
      <c r="H22" s="122"/>
      <c r="I22" s="123"/>
      <c r="J22" s="104"/>
      <c r="K22" s="71"/>
    </row>
    <row r="23" spans="2:11" ht="15.75" x14ac:dyDescent="0.25">
      <c r="B23" s="80">
        <v>12</v>
      </c>
      <c r="C23" s="88" t="s">
        <v>90</v>
      </c>
      <c r="D23" s="86" t="s">
        <v>27</v>
      </c>
      <c r="E23" s="92">
        <f>(((0.09*0.01*(0.064+0.01+0.064))*2)+(0.09*0.01*0.064))*I9</f>
        <v>3.0600000000000001E-4</v>
      </c>
      <c r="F23" s="121" t="s">
        <v>137</v>
      </c>
      <c r="G23" s="122"/>
      <c r="H23" s="122"/>
      <c r="I23" s="123"/>
      <c r="J23" s="104"/>
      <c r="K23" s="71"/>
    </row>
    <row r="24" spans="2:11" ht="15.75" x14ac:dyDescent="0.25">
      <c r="B24" s="80">
        <v>13</v>
      </c>
      <c r="C24" s="33" t="s">
        <v>46</v>
      </c>
      <c r="D24" s="86" t="s">
        <v>11</v>
      </c>
      <c r="E24" s="4">
        <f>(E10+E15+E16)*24</f>
        <v>4.8000000000000007</v>
      </c>
      <c r="F24" s="133" t="s">
        <v>82</v>
      </c>
      <c r="G24" s="134"/>
      <c r="H24" s="134"/>
      <c r="I24" s="135"/>
      <c r="J24" s="98"/>
    </row>
    <row r="25" spans="2:11" ht="32.25" thickBot="1" x14ac:dyDescent="0.3">
      <c r="B25" s="56">
        <v>14</v>
      </c>
      <c r="C25" s="57" t="s">
        <v>47</v>
      </c>
      <c r="D25" s="58" t="s">
        <v>11</v>
      </c>
      <c r="E25" s="59">
        <f>E24</f>
        <v>4.8000000000000007</v>
      </c>
      <c r="F25" s="136" t="s">
        <v>83</v>
      </c>
      <c r="G25" s="137"/>
      <c r="H25" s="137"/>
      <c r="I25" s="138"/>
      <c r="J25" s="98"/>
    </row>
    <row r="26" spans="2:11" ht="29.25" customHeight="1" thickTop="1" thickBot="1" x14ac:dyDescent="0.3">
      <c r="B26" s="109" t="s">
        <v>63</v>
      </c>
      <c r="C26" s="110"/>
      <c r="D26" s="110"/>
      <c r="E26" s="110"/>
      <c r="F26" s="110"/>
      <c r="G26" s="110"/>
      <c r="H26" s="110"/>
      <c r="I26" s="21">
        <v>1</v>
      </c>
      <c r="J26" s="103"/>
    </row>
    <row r="27" spans="2:11" ht="16.5" thickTop="1" x14ac:dyDescent="0.25">
      <c r="B27" s="82">
        <v>15</v>
      </c>
      <c r="C27" s="34" t="s">
        <v>42</v>
      </c>
      <c r="D27" s="77" t="s">
        <v>44</v>
      </c>
      <c r="E27" s="85">
        <f>ROUND(H27*I27/1000,3)</f>
        <v>0.36399999999999999</v>
      </c>
      <c r="F27" s="127" t="s">
        <v>51</v>
      </c>
      <c r="G27" s="128"/>
      <c r="H27" s="30">
        <f>ROUND((5.6+5.6+5.6+5.6+3.22)*I26,1)</f>
        <v>25.6</v>
      </c>
      <c r="I27" s="61">
        <v>14.2</v>
      </c>
      <c r="J27" s="98"/>
    </row>
    <row r="28" spans="2:11" ht="15.75" x14ac:dyDescent="0.25">
      <c r="B28" s="114">
        <v>16</v>
      </c>
      <c r="C28" s="177" t="s">
        <v>49</v>
      </c>
      <c r="D28" s="131" t="s">
        <v>44</v>
      </c>
      <c r="E28" s="132">
        <f>ROUND((I28*H28)/1000,3)</f>
        <v>0.04</v>
      </c>
      <c r="F28" s="151" t="s">
        <v>45</v>
      </c>
      <c r="G28" s="152"/>
      <c r="H28" s="26">
        <f>ROUNDUP(((3.22-0.01-0.01)/0.2)+((3.36-0.01-0.01)/0.2),0)*2*I26</f>
        <v>66</v>
      </c>
      <c r="I28" s="52">
        <f>ROUND(0.68*0.888,2)</f>
        <v>0.6</v>
      </c>
      <c r="J28" s="98"/>
    </row>
    <row r="29" spans="2:11" ht="15.75" x14ac:dyDescent="0.25">
      <c r="B29" s="149"/>
      <c r="C29" s="184"/>
      <c r="D29" s="131"/>
      <c r="E29" s="132"/>
      <c r="F29" s="127" t="s">
        <v>50</v>
      </c>
      <c r="G29" s="128"/>
      <c r="H29" s="128"/>
      <c r="I29" s="129"/>
      <c r="J29" s="98"/>
    </row>
    <row r="30" spans="2:11" ht="15.75" x14ac:dyDescent="0.25">
      <c r="B30" s="80">
        <v>17</v>
      </c>
      <c r="C30" s="35" t="s">
        <v>54</v>
      </c>
      <c r="D30" s="86" t="s">
        <v>44</v>
      </c>
      <c r="E30" s="86">
        <f>ROUND((H30*I30)/1000,3)</f>
        <v>4.0000000000000001E-3</v>
      </c>
      <c r="F30" s="121" t="s">
        <v>5</v>
      </c>
      <c r="G30" s="122"/>
      <c r="H30" s="24">
        <f>8*I26</f>
        <v>8</v>
      </c>
      <c r="I30" s="54">
        <f>ROUND(0.16*0.06*0.006*7850,2)</f>
        <v>0.45</v>
      </c>
      <c r="J30" s="98"/>
    </row>
    <row r="31" spans="2:11" ht="15.75" x14ac:dyDescent="0.25">
      <c r="B31" s="80">
        <v>18</v>
      </c>
      <c r="C31" s="35" t="s">
        <v>55</v>
      </c>
      <c r="D31" s="86" t="s">
        <v>44</v>
      </c>
      <c r="E31" s="86">
        <f>ROUND((H31*I31)/1000,3)</f>
        <v>1.2E-2</v>
      </c>
      <c r="F31" s="121" t="s">
        <v>4</v>
      </c>
      <c r="G31" s="122"/>
      <c r="H31" s="26">
        <f>ROUND((3.8-0.2+2.2-0.2)/1,0)*2*I26</f>
        <v>12</v>
      </c>
      <c r="I31" s="53">
        <f>ROUND(0.19*0.07*0.01*7850,2)</f>
        <v>1.04</v>
      </c>
      <c r="J31" s="98"/>
    </row>
    <row r="32" spans="2:11" ht="15.75" x14ac:dyDescent="0.25">
      <c r="B32" s="80">
        <v>19</v>
      </c>
      <c r="C32" s="35" t="s">
        <v>48</v>
      </c>
      <c r="D32" s="86" t="s">
        <v>44</v>
      </c>
      <c r="E32" s="89">
        <f>ROUND((I32*H32)/1000,3)</f>
        <v>3.4000000000000002E-2</v>
      </c>
      <c r="F32" s="121" t="s">
        <v>56</v>
      </c>
      <c r="G32" s="122"/>
      <c r="H32" s="28">
        <f>ROUNDUP((3.22-0.01-0.01)*(3.36-0.01-0.01),2)*I26</f>
        <v>10.69</v>
      </c>
      <c r="I32" s="67">
        <v>3.17</v>
      </c>
      <c r="J32" s="98"/>
    </row>
    <row r="33" spans="2:12" ht="15.75" x14ac:dyDescent="0.25">
      <c r="B33" s="80">
        <v>20</v>
      </c>
      <c r="C33" s="90" t="s">
        <v>59</v>
      </c>
      <c r="D33" s="86" t="s">
        <v>10</v>
      </c>
      <c r="E33" s="86">
        <f>8*I26</f>
        <v>8</v>
      </c>
      <c r="F33" s="133" t="s">
        <v>22</v>
      </c>
      <c r="G33" s="134"/>
      <c r="H33" s="134"/>
      <c r="I33" s="135"/>
      <c r="J33" s="98"/>
    </row>
    <row r="34" spans="2:12" ht="15.75" x14ac:dyDescent="0.25">
      <c r="B34" s="80">
        <v>21</v>
      </c>
      <c r="C34" s="90" t="s">
        <v>57</v>
      </c>
      <c r="D34" s="86" t="s">
        <v>10</v>
      </c>
      <c r="E34" s="86">
        <f>8*I26</f>
        <v>8</v>
      </c>
      <c r="F34" s="143" t="s">
        <v>58</v>
      </c>
      <c r="G34" s="143"/>
      <c r="H34" s="143"/>
      <c r="I34" s="144"/>
      <c r="J34" s="104"/>
    </row>
    <row r="35" spans="2:12" ht="15.75" x14ac:dyDescent="0.25">
      <c r="B35" s="80">
        <v>22</v>
      </c>
      <c r="C35" s="35" t="s">
        <v>60</v>
      </c>
      <c r="D35" s="86" t="s">
        <v>44</v>
      </c>
      <c r="E35" s="89">
        <f>ROUND((I35*H35)/1000,3)</f>
        <v>0.17</v>
      </c>
      <c r="F35" s="121" t="s">
        <v>61</v>
      </c>
      <c r="G35" s="122"/>
      <c r="H35" s="22">
        <f>ROUND(((3.22-0.01-0.01)*17)+((3.36-0.01-0.01)*16),2)*I26</f>
        <v>107.84</v>
      </c>
      <c r="I35" s="55">
        <f>ROUND(1.578,2)</f>
        <v>1.58</v>
      </c>
      <c r="J35" s="98"/>
    </row>
    <row r="36" spans="2:12" ht="15.75" x14ac:dyDescent="0.25">
      <c r="B36" s="80">
        <v>23</v>
      </c>
      <c r="C36" s="35" t="s">
        <v>62</v>
      </c>
      <c r="D36" s="86" t="s">
        <v>27</v>
      </c>
      <c r="E36" s="86">
        <f>ROUND(3.36*3.22*0.16,2)*I26</f>
        <v>1.73</v>
      </c>
      <c r="F36" s="121" t="s">
        <v>8</v>
      </c>
      <c r="G36" s="122"/>
      <c r="H36" s="122"/>
      <c r="I36" s="123"/>
      <c r="J36" s="104"/>
    </row>
    <row r="37" spans="2:12" ht="15.75" x14ac:dyDescent="0.25">
      <c r="B37" s="80">
        <v>24</v>
      </c>
      <c r="C37" s="35" t="s">
        <v>81</v>
      </c>
      <c r="D37" s="86" t="s">
        <v>11</v>
      </c>
      <c r="E37" s="4">
        <f>E36/0.16</f>
        <v>10.8125</v>
      </c>
      <c r="F37" s="121" t="s">
        <v>22</v>
      </c>
      <c r="G37" s="122"/>
      <c r="H37" s="122"/>
      <c r="I37" s="123"/>
      <c r="J37" s="104"/>
    </row>
    <row r="38" spans="2:12" ht="15.75" x14ac:dyDescent="0.25">
      <c r="B38" s="80">
        <v>25</v>
      </c>
      <c r="C38" s="88" t="s">
        <v>90</v>
      </c>
      <c r="D38" s="86" t="s">
        <v>27</v>
      </c>
      <c r="E38" s="92">
        <f>((0.09*0.01*(0.064+0.01+0.064))*4)*I26</f>
        <v>4.9680000000000004E-4</v>
      </c>
      <c r="F38" s="121" t="s">
        <v>137</v>
      </c>
      <c r="G38" s="122"/>
      <c r="H38" s="122"/>
      <c r="I38" s="123"/>
      <c r="J38" s="104"/>
    </row>
    <row r="39" spans="2:12" ht="15.75" x14ac:dyDescent="0.25">
      <c r="B39" s="80">
        <v>26</v>
      </c>
      <c r="C39" s="35" t="s">
        <v>46</v>
      </c>
      <c r="D39" s="86" t="s">
        <v>11</v>
      </c>
      <c r="E39" s="4">
        <f>(E27+E30+E31)*24</f>
        <v>9.120000000000001</v>
      </c>
      <c r="F39" s="133" t="s">
        <v>82</v>
      </c>
      <c r="G39" s="134"/>
      <c r="H39" s="134"/>
      <c r="I39" s="135"/>
      <c r="J39" s="98"/>
    </row>
    <row r="40" spans="2:12" ht="32.25" thickBot="1" x14ac:dyDescent="0.3">
      <c r="B40" s="56">
        <v>27</v>
      </c>
      <c r="C40" s="60" t="s">
        <v>47</v>
      </c>
      <c r="D40" s="58" t="s">
        <v>11</v>
      </c>
      <c r="E40" s="59">
        <f>E39</f>
        <v>9.120000000000001</v>
      </c>
      <c r="F40" s="136" t="s">
        <v>83</v>
      </c>
      <c r="G40" s="137"/>
      <c r="H40" s="137"/>
      <c r="I40" s="138"/>
      <c r="J40" s="98"/>
    </row>
    <row r="41" spans="2:12" ht="30.75" customHeight="1" thickTop="1" thickBot="1" x14ac:dyDescent="0.3">
      <c r="B41" s="109" t="s">
        <v>99</v>
      </c>
      <c r="C41" s="110"/>
      <c r="D41" s="110"/>
      <c r="E41" s="110"/>
      <c r="F41" s="110"/>
      <c r="G41" s="110"/>
      <c r="H41" s="110"/>
      <c r="I41" s="21">
        <v>2</v>
      </c>
      <c r="J41" s="103"/>
      <c r="K41" s="72"/>
      <c r="L41" s="40"/>
    </row>
    <row r="42" spans="2:12" ht="16.5" thickTop="1" x14ac:dyDescent="0.25">
      <c r="B42" s="114">
        <v>28</v>
      </c>
      <c r="C42" s="177" t="s">
        <v>68</v>
      </c>
      <c r="D42" s="131" t="s">
        <v>44</v>
      </c>
      <c r="E42" s="132">
        <f>ROUND((I42*H42)/1000,3)</f>
        <v>2E-3</v>
      </c>
      <c r="F42" s="151" t="s">
        <v>100</v>
      </c>
      <c r="G42" s="152"/>
      <c r="H42" s="26">
        <f>4*I41</f>
        <v>8</v>
      </c>
      <c r="I42" s="52">
        <f>ROUND(0.325*0.617,2)</f>
        <v>0.2</v>
      </c>
      <c r="J42" s="98"/>
    </row>
    <row r="43" spans="2:12" ht="15.75" x14ac:dyDescent="0.25">
      <c r="B43" s="149"/>
      <c r="C43" s="184"/>
      <c r="D43" s="131"/>
      <c r="E43" s="132"/>
      <c r="F43" s="127" t="s">
        <v>53</v>
      </c>
      <c r="G43" s="128"/>
      <c r="H43" s="128"/>
      <c r="I43" s="129"/>
      <c r="J43" s="98"/>
    </row>
    <row r="44" spans="2:12" ht="15.75" x14ac:dyDescent="0.25">
      <c r="B44" s="113">
        <v>29</v>
      </c>
      <c r="C44" s="145" t="s">
        <v>80</v>
      </c>
      <c r="D44" s="117" t="s">
        <v>44</v>
      </c>
      <c r="E44" s="119">
        <f>ROUND(((H44*I44)+(H45*I45))/1000,3)</f>
        <v>0.125</v>
      </c>
      <c r="F44" s="151" t="s">
        <v>84</v>
      </c>
      <c r="G44" s="152"/>
      <c r="H44" s="26">
        <f>4*I41</f>
        <v>8</v>
      </c>
      <c r="I44" s="52">
        <f>ROUND(8.33*0.62,2)</f>
        <v>5.16</v>
      </c>
      <c r="J44" s="98"/>
    </row>
    <row r="45" spans="2:12" ht="15.75" x14ac:dyDescent="0.25">
      <c r="B45" s="114"/>
      <c r="C45" s="146"/>
      <c r="D45" s="118"/>
      <c r="E45" s="120"/>
      <c r="F45" s="127" t="s">
        <v>85</v>
      </c>
      <c r="G45" s="128"/>
      <c r="H45" s="42">
        <f>6*I41</f>
        <v>12</v>
      </c>
      <c r="I45" s="64">
        <f>ROUND(8.33*0.84,2)</f>
        <v>7</v>
      </c>
      <c r="J45" s="98"/>
    </row>
    <row r="46" spans="2:12" ht="15.75" x14ac:dyDescent="0.25">
      <c r="B46" s="80">
        <v>30</v>
      </c>
      <c r="C46" s="35" t="s">
        <v>55</v>
      </c>
      <c r="D46" s="86" t="s">
        <v>44</v>
      </c>
      <c r="E46" s="86">
        <f>ROUND((I46*H46)/1000,3)</f>
        <v>8.0000000000000002E-3</v>
      </c>
      <c r="F46" s="121" t="s">
        <v>16</v>
      </c>
      <c r="G46" s="122"/>
      <c r="H46" s="26">
        <f>4*I41</f>
        <v>8</v>
      </c>
      <c r="I46" s="53">
        <f>ROUND(0.11*0.2*0.006*7850,2)</f>
        <v>1.04</v>
      </c>
      <c r="J46" s="98"/>
    </row>
    <row r="47" spans="2:12" ht="15.75" x14ac:dyDescent="0.25">
      <c r="B47" s="80">
        <v>31</v>
      </c>
      <c r="C47" s="35" t="s">
        <v>66</v>
      </c>
      <c r="D47" s="86" t="s">
        <v>44</v>
      </c>
      <c r="E47" s="89">
        <f>ROUND((I47*H47)/1000,3)</f>
        <v>3.6999999999999998E-2</v>
      </c>
      <c r="F47" s="141" t="s">
        <v>56</v>
      </c>
      <c r="G47" s="142"/>
      <c r="H47" s="43">
        <f>5.9*I41</f>
        <v>11.8</v>
      </c>
      <c r="I47" s="65">
        <v>3.17</v>
      </c>
      <c r="J47" s="98"/>
    </row>
    <row r="48" spans="2:12" ht="15.75" x14ac:dyDescent="0.25">
      <c r="B48" s="113">
        <v>32</v>
      </c>
      <c r="C48" s="145" t="s">
        <v>67</v>
      </c>
      <c r="D48" s="117" t="s">
        <v>44</v>
      </c>
      <c r="E48" s="119">
        <f>ROUND((I48*H48)/1000,3)</f>
        <v>5.1999999999999998E-2</v>
      </c>
      <c r="F48" s="141" t="s">
        <v>19</v>
      </c>
      <c r="G48" s="142"/>
      <c r="H48" s="19">
        <f>42*I41</f>
        <v>84</v>
      </c>
      <c r="I48" s="53">
        <f>ROUND(0.16*2+0.1*3,2)</f>
        <v>0.62</v>
      </c>
      <c r="J48" s="98"/>
    </row>
    <row r="49" spans="2:12" ht="15.75" x14ac:dyDescent="0.25">
      <c r="B49" s="114"/>
      <c r="C49" s="146"/>
      <c r="D49" s="118"/>
      <c r="E49" s="120"/>
      <c r="F49" s="139" t="s">
        <v>86</v>
      </c>
      <c r="G49" s="140"/>
      <c r="H49" s="140"/>
      <c r="I49" s="174"/>
      <c r="J49" s="104"/>
    </row>
    <row r="50" spans="2:12" ht="15.75" x14ac:dyDescent="0.25">
      <c r="B50" s="80">
        <v>33</v>
      </c>
      <c r="C50" s="90" t="s">
        <v>59</v>
      </c>
      <c r="D50" s="86" t="s">
        <v>10</v>
      </c>
      <c r="E50" s="86">
        <f>20*I41</f>
        <v>40</v>
      </c>
      <c r="F50" s="127" t="s">
        <v>22</v>
      </c>
      <c r="G50" s="128"/>
      <c r="H50" s="128"/>
      <c r="I50" s="129"/>
      <c r="J50" s="98"/>
    </row>
    <row r="51" spans="2:12" ht="15.75" x14ac:dyDescent="0.25">
      <c r="B51" s="80">
        <v>34</v>
      </c>
      <c r="C51" s="90" t="s">
        <v>57</v>
      </c>
      <c r="D51" s="86" t="s">
        <v>10</v>
      </c>
      <c r="E51" s="86">
        <f>20*I41</f>
        <v>40</v>
      </c>
      <c r="F51" s="164" t="s">
        <v>58</v>
      </c>
      <c r="G51" s="164"/>
      <c r="H51" s="164"/>
      <c r="I51" s="165"/>
      <c r="J51" s="104"/>
    </row>
    <row r="52" spans="2:12" ht="15.75" x14ac:dyDescent="0.25">
      <c r="B52" s="113">
        <v>35</v>
      </c>
      <c r="C52" s="115" t="s">
        <v>65</v>
      </c>
      <c r="D52" s="117" t="s">
        <v>11</v>
      </c>
      <c r="E52" s="171">
        <f>H52</f>
        <v>13.74</v>
      </c>
      <c r="F52" s="141" t="s">
        <v>20</v>
      </c>
      <c r="G52" s="142"/>
      <c r="H52" s="43">
        <f>ROUND(22.9*0.3,2)*I41</f>
        <v>13.74</v>
      </c>
      <c r="I52" s="65">
        <v>11.2</v>
      </c>
      <c r="J52" s="98"/>
    </row>
    <row r="53" spans="2:12" ht="15.75" x14ac:dyDescent="0.25">
      <c r="B53" s="130"/>
      <c r="C53" s="163"/>
      <c r="D53" s="131"/>
      <c r="E53" s="172"/>
      <c r="F53" s="83" t="s">
        <v>87</v>
      </c>
      <c r="G53" s="84"/>
      <c r="H53" s="26">
        <f>ROUND((I53*E52),0)</f>
        <v>69</v>
      </c>
      <c r="I53" s="66">
        <v>5</v>
      </c>
      <c r="J53" s="98"/>
    </row>
    <row r="54" spans="2:12" ht="15.75" x14ac:dyDescent="0.25">
      <c r="B54" s="114"/>
      <c r="C54" s="116"/>
      <c r="D54" s="118"/>
      <c r="E54" s="173"/>
      <c r="F54" s="139" t="s">
        <v>88</v>
      </c>
      <c r="G54" s="140"/>
      <c r="H54" s="140"/>
      <c r="I54" s="174"/>
      <c r="J54" s="104"/>
    </row>
    <row r="55" spans="2:12" ht="15.75" x14ac:dyDescent="0.25">
      <c r="B55" s="80">
        <v>36</v>
      </c>
      <c r="C55" s="35" t="s">
        <v>64</v>
      </c>
      <c r="D55" s="86" t="s">
        <v>27</v>
      </c>
      <c r="E55" s="4">
        <f>1.05*I41</f>
        <v>2.1</v>
      </c>
      <c r="F55" s="139" t="s">
        <v>21</v>
      </c>
      <c r="G55" s="140"/>
      <c r="H55" s="140"/>
      <c r="I55" s="174"/>
      <c r="J55" s="104"/>
      <c r="L55" s="63"/>
    </row>
    <row r="56" spans="2:12" ht="31.5" x14ac:dyDescent="0.25">
      <c r="B56" s="80">
        <v>37</v>
      </c>
      <c r="C56" s="90" t="s">
        <v>101</v>
      </c>
      <c r="D56" s="86" t="s">
        <v>27</v>
      </c>
      <c r="E56" s="4">
        <f>H56</f>
        <v>0.24</v>
      </c>
      <c r="F56" s="133" t="s">
        <v>102</v>
      </c>
      <c r="G56" s="134"/>
      <c r="H56" s="175">
        <f>ROUND(22.9*0.17*0.03,2)*I41</f>
        <v>0.24</v>
      </c>
      <c r="I56" s="176"/>
      <c r="J56" s="98"/>
    </row>
    <row r="57" spans="2:12" ht="15.75" x14ac:dyDescent="0.25">
      <c r="B57" s="80">
        <v>38</v>
      </c>
      <c r="C57" s="35" t="s">
        <v>46</v>
      </c>
      <c r="D57" s="86" t="s">
        <v>11</v>
      </c>
      <c r="E57" s="44">
        <f>(E44+E46)*24</f>
        <v>3.1920000000000002</v>
      </c>
      <c r="F57" s="133" t="s">
        <v>82</v>
      </c>
      <c r="G57" s="134"/>
      <c r="H57" s="134"/>
      <c r="I57" s="135"/>
      <c r="J57" s="98"/>
    </row>
    <row r="58" spans="2:12" ht="32.25" thickBot="1" x14ac:dyDescent="0.3">
      <c r="B58" s="56">
        <v>39</v>
      </c>
      <c r="C58" s="60" t="s">
        <v>47</v>
      </c>
      <c r="D58" s="58" t="s">
        <v>11</v>
      </c>
      <c r="E58" s="59">
        <f>E57</f>
        <v>3.1920000000000002</v>
      </c>
      <c r="F58" s="136" t="s">
        <v>83</v>
      </c>
      <c r="G58" s="137"/>
      <c r="H58" s="137"/>
      <c r="I58" s="138"/>
      <c r="J58" s="98"/>
    </row>
    <row r="59" spans="2:12" ht="30.75" customHeight="1" thickTop="1" thickBot="1" x14ac:dyDescent="0.3">
      <c r="B59" s="109" t="s">
        <v>103</v>
      </c>
      <c r="C59" s="110"/>
      <c r="D59" s="110"/>
      <c r="E59" s="110"/>
      <c r="F59" s="110"/>
      <c r="G59" s="110"/>
      <c r="H59" s="110"/>
      <c r="I59" s="21">
        <v>5</v>
      </c>
      <c r="J59" s="103"/>
    </row>
    <row r="60" spans="2:12" ht="16.5" thickTop="1" x14ac:dyDescent="0.25">
      <c r="B60" s="114">
        <v>40</v>
      </c>
      <c r="C60" s="177" t="s">
        <v>68</v>
      </c>
      <c r="D60" s="131" t="s">
        <v>44</v>
      </c>
      <c r="E60" s="132">
        <f>ROUND((I60*H60)/1000,3)</f>
        <v>4.0000000000000001E-3</v>
      </c>
      <c r="F60" s="151" t="s">
        <v>105</v>
      </c>
      <c r="G60" s="152"/>
      <c r="H60" s="26">
        <f>4*I59</f>
        <v>20</v>
      </c>
      <c r="I60" s="52">
        <f>ROUND(0.325*0.617,2)</f>
        <v>0.2</v>
      </c>
      <c r="J60" s="98"/>
    </row>
    <row r="61" spans="2:12" ht="15.75" x14ac:dyDescent="0.25">
      <c r="B61" s="149"/>
      <c r="C61" s="184"/>
      <c r="D61" s="131"/>
      <c r="E61" s="132"/>
      <c r="F61" s="127" t="s">
        <v>53</v>
      </c>
      <c r="G61" s="128"/>
      <c r="H61" s="128"/>
      <c r="I61" s="129"/>
      <c r="J61" s="98"/>
    </row>
    <row r="62" spans="2:12" ht="15.75" x14ac:dyDescent="0.25">
      <c r="B62" s="113">
        <v>41</v>
      </c>
      <c r="C62" s="145" t="s">
        <v>80</v>
      </c>
      <c r="D62" s="117" t="s">
        <v>44</v>
      </c>
      <c r="E62" s="119">
        <f>ROUND(((H62*I62)+(H63*I63))/1000,3)</f>
        <v>0.24299999999999999</v>
      </c>
      <c r="F62" s="151" t="s">
        <v>84</v>
      </c>
      <c r="G62" s="152"/>
      <c r="H62" s="26">
        <f>4*I59</f>
        <v>20</v>
      </c>
      <c r="I62" s="52">
        <f>ROUND(8.33*0.62,2)</f>
        <v>5.16</v>
      </c>
      <c r="J62" s="98"/>
    </row>
    <row r="63" spans="2:12" ht="15.75" x14ac:dyDescent="0.25">
      <c r="B63" s="114"/>
      <c r="C63" s="146"/>
      <c r="D63" s="118"/>
      <c r="E63" s="120"/>
      <c r="F63" s="29" t="s">
        <v>85</v>
      </c>
      <c r="G63" s="30"/>
      <c r="H63" s="42">
        <f>4*I59</f>
        <v>20</v>
      </c>
      <c r="I63" s="64">
        <f>ROUND(8.33*0.84,2)</f>
        <v>7</v>
      </c>
      <c r="J63" s="98"/>
    </row>
    <row r="64" spans="2:12" ht="15.75" x14ac:dyDescent="0.25">
      <c r="B64" s="80">
        <v>42</v>
      </c>
      <c r="C64" s="35" t="s">
        <v>55</v>
      </c>
      <c r="D64" s="86" t="s">
        <v>44</v>
      </c>
      <c r="E64" s="86">
        <f>ROUND((I64*H64)/1000,3)</f>
        <v>2.1000000000000001E-2</v>
      </c>
      <c r="F64" s="121" t="s">
        <v>16</v>
      </c>
      <c r="G64" s="122"/>
      <c r="H64" s="26">
        <f>4*I59</f>
        <v>20</v>
      </c>
      <c r="I64" s="53">
        <f>ROUND(0.11*0.2*0.006*7850,2)</f>
        <v>1.04</v>
      </c>
      <c r="J64" s="98"/>
    </row>
    <row r="65" spans="2:10" ht="15.75" x14ac:dyDescent="0.25">
      <c r="B65" s="80">
        <v>43</v>
      </c>
      <c r="C65" s="35" t="s">
        <v>66</v>
      </c>
      <c r="D65" s="86" t="s">
        <v>44</v>
      </c>
      <c r="E65" s="89">
        <f>ROUND((I65*H65)/1000,3)</f>
        <v>7.5999999999999998E-2</v>
      </c>
      <c r="F65" s="141" t="s">
        <v>56</v>
      </c>
      <c r="G65" s="142"/>
      <c r="H65" s="43">
        <f>4.77*I59</f>
        <v>23.849999999999998</v>
      </c>
      <c r="I65" s="65">
        <v>3.17</v>
      </c>
      <c r="J65" s="98"/>
    </row>
    <row r="66" spans="2:10" ht="15.75" x14ac:dyDescent="0.25">
      <c r="B66" s="113">
        <v>44</v>
      </c>
      <c r="C66" s="145" t="s">
        <v>67</v>
      </c>
      <c r="D66" s="117" t="s">
        <v>44</v>
      </c>
      <c r="E66" s="119">
        <f>ROUND((I66*H66)/1000,3)</f>
        <v>0.105</v>
      </c>
      <c r="F66" s="141" t="s">
        <v>19</v>
      </c>
      <c r="G66" s="142"/>
      <c r="H66" s="19">
        <f>34*I59</f>
        <v>170</v>
      </c>
      <c r="I66" s="53">
        <f>ROUND(0.16*2+0.1*3,2)</f>
        <v>0.62</v>
      </c>
      <c r="J66" s="98"/>
    </row>
    <row r="67" spans="2:10" ht="15.75" x14ac:dyDescent="0.25">
      <c r="B67" s="114"/>
      <c r="C67" s="146"/>
      <c r="D67" s="118"/>
      <c r="E67" s="120"/>
      <c r="F67" s="139" t="s">
        <v>86</v>
      </c>
      <c r="G67" s="140"/>
      <c r="H67" s="140"/>
      <c r="I67" s="174"/>
      <c r="J67" s="104"/>
    </row>
    <row r="68" spans="2:10" ht="15.75" x14ac:dyDescent="0.25">
      <c r="B68" s="80">
        <v>45</v>
      </c>
      <c r="C68" s="90" t="s">
        <v>59</v>
      </c>
      <c r="D68" s="86" t="s">
        <v>10</v>
      </c>
      <c r="E68" s="86">
        <f>16*I59</f>
        <v>80</v>
      </c>
      <c r="F68" s="127" t="s">
        <v>22</v>
      </c>
      <c r="G68" s="128"/>
      <c r="H68" s="128"/>
      <c r="I68" s="129"/>
      <c r="J68" s="98"/>
    </row>
    <row r="69" spans="2:10" ht="15.75" x14ac:dyDescent="0.25">
      <c r="B69" s="80">
        <v>46</v>
      </c>
      <c r="C69" s="90" t="s">
        <v>57</v>
      </c>
      <c r="D69" s="86" t="s">
        <v>10</v>
      </c>
      <c r="E69" s="86">
        <f>16*I59</f>
        <v>80</v>
      </c>
      <c r="F69" s="164" t="s">
        <v>58</v>
      </c>
      <c r="G69" s="164"/>
      <c r="H69" s="164"/>
      <c r="I69" s="165"/>
      <c r="J69" s="104"/>
    </row>
    <row r="70" spans="2:10" ht="15.75" x14ac:dyDescent="0.25">
      <c r="B70" s="113">
        <v>47</v>
      </c>
      <c r="C70" s="115" t="s">
        <v>65</v>
      </c>
      <c r="D70" s="117" t="s">
        <v>11</v>
      </c>
      <c r="E70" s="171">
        <f>H70</f>
        <v>27.450000000000003</v>
      </c>
      <c r="F70" s="141" t="s">
        <v>20</v>
      </c>
      <c r="G70" s="142"/>
      <c r="H70" s="43">
        <f>ROUND(18.3*0.3,2)*I59</f>
        <v>27.450000000000003</v>
      </c>
      <c r="I70" s="65">
        <v>11.2</v>
      </c>
      <c r="J70" s="98"/>
    </row>
    <row r="71" spans="2:10" ht="15.75" x14ac:dyDescent="0.25">
      <c r="B71" s="130"/>
      <c r="C71" s="163"/>
      <c r="D71" s="131"/>
      <c r="E71" s="172"/>
      <c r="F71" s="83" t="s">
        <v>87</v>
      </c>
      <c r="G71" s="84"/>
      <c r="H71" s="26">
        <f>ROUND((I71*E70),0)</f>
        <v>137</v>
      </c>
      <c r="I71" s="66">
        <v>5</v>
      </c>
      <c r="J71" s="98"/>
    </row>
    <row r="72" spans="2:10" ht="15.75" x14ac:dyDescent="0.25">
      <c r="B72" s="114"/>
      <c r="C72" s="116"/>
      <c r="D72" s="118"/>
      <c r="E72" s="173"/>
      <c r="F72" s="139" t="s">
        <v>88</v>
      </c>
      <c r="G72" s="140"/>
      <c r="H72" s="140"/>
      <c r="I72" s="174"/>
      <c r="J72" s="104"/>
    </row>
    <row r="73" spans="2:10" ht="15.75" x14ac:dyDescent="0.25">
      <c r="B73" s="80">
        <v>48</v>
      </c>
      <c r="C73" s="35" t="s">
        <v>64</v>
      </c>
      <c r="D73" s="86" t="s">
        <v>27</v>
      </c>
      <c r="E73" s="86">
        <f>0.84*I59</f>
        <v>4.2</v>
      </c>
      <c r="F73" s="139" t="s">
        <v>21</v>
      </c>
      <c r="G73" s="140"/>
      <c r="H73" s="140"/>
      <c r="I73" s="174"/>
      <c r="J73" s="104"/>
    </row>
    <row r="74" spans="2:10" ht="31.5" x14ac:dyDescent="0.25">
      <c r="B74" s="80">
        <v>49</v>
      </c>
      <c r="C74" s="90" t="s">
        <v>101</v>
      </c>
      <c r="D74" s="86" t="s">
        <v>27</v>
      </c>
      <c r="E74" s="4">
        <f>H74</f>
        <v>0.44999999999999996</v>
      </c>
      <c r="F74" s="133" t="s">
        <v>102</v>
      </c>
      <c r="G74" s="134"/>
      <c r="H74" s="175">
        <f>ROUND(18.3*0.17*0.03,2)*I59</f>
        <v>0.44999999999999996</v>
      </c>
      <c r="I74" s="176"/>
      <c r="J74" s="98"/>
    </row>
    <row r="75" spans="2:10" ht="15.75" x14ac:dyDescent="0.25">
      <c r="B75" s="80">
        <v>50</v>
      </c>
      <c r="C75" s="35" t="s">
        <v>46</v>
      </c>
      <c r="D75" s="86" t="s">
        <v>11</v>
      </c>
      <c r="E75" s="44">
        <f>(E62+E64)*24</f>
        <v>6.3360000000000003</v>
      </c>
      <c r="F75" s="133" t="s">
        <v>82</v>
      </c>
      <c r="G75" s="134"/>
      <c r="H75" s="134"/>
      <c r="I75" s="135"/>
      <c r="J75" s="98"/>
    </row>
    <row r="76" spans="2:10" ht="32.25" thickBot="1" x14ac:dyDescent="0.3">
      <c r="B76" s="80">
        <v>51</v>
      </c>
      <c r="C76" s="90" t="s">
        <v>47</v>
      </c>
      <c r="D76" s="86" t="s">
        <v>11</v>
      </c>
      <c r="E76" s="4">
        <f>E75</f>
        <v>6.3360000000000003</v>
      </c>
      <c r="F76" s="136" t="s">
        <v>83</v>
      </c>
      <c r="G76" s="137"/>
      <c r="H76" s="137"/>
      <c r="I76" s="138"/>
      <c r="J76" s="98"/>
    </row>
    <row r="77" spans="2:10" ht="30.75" customHeight="1" thickTop="1" thickBot="1" x14ac:dyDescent="0.3">
      <c r="B77" s="109" t="s">
        <v>104</v>
      </c>
      <c r="C77" s="110"/>
      <c r="D77" s="110"/>
      <c r="E77" s="110"/>
      <c r="F77" s="110"/>
      <c r="G77" s="110"/>
      <c r="H77" s="110"/>
      <c r="I77" s="21">
        <v>5</v>
      </c>
      <c r="J77" s="103"/>
    </row>
    <row r="78" spans="2:10" ht="16.5" thickTop="1" x14ac:dyDescent="0.25">
      <c r="B78" s="114">
        <v>52</v>
      </c>
      <c r="C78" s="177" t="s">
        <v>68</v>
      </c>
      <c r="D78" s="131" t="s">
        <v>44</v>
      </c>
      <c r="E78" s="132">
        <f>ROUND((I78*H78)/1000,3)</f>
        <v>7.0000000000000001E-3</v>
      </c>
      <c r="F78" s="151" t="s">
        <v>106</v>
      </c>
      <c r="G78" s="152"/>
      <c r="H78" s="26">
        <f>7*I77</f>
        <v>35</v>
      </c>
      <c r="I78" s="52">
        <f>ROUND(0.325*0.617,2)</f>
        <v>0.2</v>
      </c>
      <c r="J78" s="98"/>
    </row>
    <row r="79" spans="2:10" ht="15.75" x14ac:dyDescent="0.25">
      <c r="B79" s="113"/>
      <c r="C79" s="178"/>
      <c r="D79" s="131"/>
      <c r="E79" s="132"/>
      <c r="F79" s="151" t="s">
        <v>53</v>
      </c>
      <c r="G79" s="152"/>
      <c r="H79" s="152"/>
      <c r="I79" s="185"/>
      <c r="J79" s="98"/>
    </row>
    <row r="80" spans="2:10" ht="15.75" x14ac:dyDescent="0.25">
      <c r="B80" s="113">
        <v>53</v>
      </c>
      <c r="C80" s="145" t="s">
        <v>80</v>
      </c>
      <c r="D80" s="117" t="s">
        <v>44</v>
      </c>
      <c r="E80" s="169">
        <f>ROUND(((H80*I80)+(H81*I81))/1000,3)</f>
        <v>0.252</v>
      </c>
      <c r="F80" s="111" t="s">
        <v>84</v>
      </c>
      <c r="G80" s="112"/>
      <c r="H80" s="19">
        <f>3*I77</f>
        <v>15</v>
      </c>
      <c r="I80" s="53">
        <f>ROUND(8.33*0.62,2)</f>
        <v>5.16</v>
      </c>
      <c r="J80" s="98"/>
    </row>
    <row r="81" spans="2:10" ht="15.75" x14ac:dyDescent="0.25">
      <c r="B81" s="114"/>
      <c r="C81" s="146"/>
      <c r="D81" s="118"/>
      <c r="E81" s="170"/>
      <c r="F81" s="29" t="s">
        <v>85</v>
      </c>
      <c r="G81" s="30"/>
      <c r="H81" s="42">
        <f>5*I77</f>
        <v>25</v>
      </c>
      <c r="I81" s="64">
        <f>ROUND(8.33*0.84,2)</f>
        <v>7</v>
      </c>
      <c r="J81" s="98"/>
    </row>
    <row r="82" spans="2:10" ht="15.75" x14ac:dyDescent="0.25">
      <c r="B82" s="80">
        <v>54</v>
      </c>
      <c r="C82" s="35" t="s">
        <v>55</v>
      </c>
      <c r="D82" s="86" t="s">
        <v>44</v>
      </c>
      <c r="E82" s="86">
        <f>ROUND((I82*H82)/1000,3)</f>
        <v>1.6E-2</v>
      </c>
      <c r="F82" s="121" t="s">
        <v>16</v>
      </c>
      <c r="G82" s="122"/>
      <c r="H82" s="26">
        <f>3*I77</f>
        <v>15</v>
      </c>
      <c r="I82" s="53">
        <f>ROUND(0.11*0.2*0.006*7850,2)</f>
        <v>1.04</v>
      </c>
      <c r="J82" s="98"/>
    </row>
    <row r="83" spans="2:10" ht="15.75" x14ac:dyDescent="0.25">
      <c r="B83" s="80">
        <v>55</v>
      </c>
      <c r="C83" s="35" t="s">
        <v>66</v>
      </c>
      <c r="D83" s="86" t="s">
        <v>44</v>
      </c>
      <c r="E83" s="89">
        <f>ROUND((I83*H83)/1000,3)</f>
        <v>7.5999999999999998E-2</v>
      </c>
      <c r="F83" s="141" t="s">
        <v>56</v>
      </c>
      <c r="G83" s="142"/>
      <c r="H83" s="43">
        <f>4.77*I77</f>
        <v>23.849999999999998</v>
      </c>
      <c r="I83" s="65">
        <v>3.17</v>
      </c>
      <c r="J83" s="98"/>
    </row>
    <row r="84" spans="2:10" ht="15.75" x14ac:dyDescent="0.25">
      <c r="B84" s="113">
        <v>56</v>
      </c>
      <c r="C84" s="145" t="s">
        <v>67</v>
      </c>
      <c r="D84" s="117" t="s">
        <v>44</v>
      </c>
      <c r="E84" s="119">
        <f>ROUND((I84*H84)/1000,3)</f>
        <v>0.105</v>
      </c>
      <c r="F84" s="141" t="s">
        <v>136</v>
      </c>
      <c r="G84" s="142"/>
      <c r="H84" s="19">
        <f>34*I77</f>
        <v>170</v>
      </c>
      <c r="I84" s="53">
        <f>ROUND(0.16*2+0.1*3,2)</f>
        <v>0.62</v>
      </c>
      <c r="J84" s="98"/>
    </row>
    <row r="85" spans="2:10" ht="15.75" x14ac:dyDescent="0.25">
      <c r="B85" s="114"/>
      <c r="C85" s="146"/>
      <c r="D85" s="118"/>
      <c r="E85" s="120"/>
      <c r="F85" s="139" t="s">
        <v>86</v>
      </c>
      <c r="G85" s="140"/>
      <c r="H85" s="140"/>
      <c r="I85" s="174"/>
      <c r="J85" s="104"/>
    </row>
    <row r="86" spans="2:10" ht="15.75" x14ac:dyDescent="0.25">
      <c r="B86" s="80">
        <v>57</v>
      </c>
      <c r="C86" s="90" t="s">
        <v>59</v>
      </c>
      <c r="D86" s="86" t="s">
        <v>10</v>
      </c>
      <c r="E86" s="86">
        <f>16*I77</f>
        <v>80</v>
      </c>
      <c r="F86" s="127" t="s">
        <v>22</v>
      </c>
      <c r="G86" s="128"/>
      <c r="H86" s="128"/>
      <c r="I86" s="129"/>
      <c r="J86" s="98"/>
    </row>
    <row r="87" spans="2:10" ht="15.75" x14ac:dyDescent="0.25">
      <c r="B87" s="80">
        <v>58</v>
      </c>
      <c r="C87" s="90" t="s">
        <v>57</v>
      </c>
      <c r="D87" s="86" t="s">
        <v>10</v>
      </c>
      <c r="E87" s="86">
        <f>16*I77</f>
        <v>80</v>
      </c>
      <c r="F87" s="164" t="s">
        <v>58</v>
      </c>
      <c r="G87" s="164"/>
      <c r="H87" s="164"/>
      <c r="I87" s="165"/>
      <c r="J87" s="104"/>
    </row>
    <row r="88" spans="2:10" ht="15.75" x14ac:dyDescent="0.25">
      <c r="B88" s="113">
        <v>59</v>
      </c>
      <c r="C88" s="115" t="s">
        <v>65</v>
      </c>
      <c r="D88" s="117" t="s">
        <v>11</v>
      </c>
      <c r="E88" s="117">
        <f>H88</f>
        <v>27.450000000000003</v>
      </c>
      <c r="F88" s="141" t="s">
        <v>20</v>
      </c>
      <c r="G88" s="142"/>
      <c r="H88" s="43">
        <f>ROUND(18.3*0.3,2)*I77</f>
        <v>27.450000000000003</v>
      </c>
      <c r="I88" s="65">
        <v>11.2</v>
      </c>
      <c r="J88" s="98"/>
    </row>
    <row r="89" spans="2:10" ht="15.75" x14ac:dyDescent="0.25">
      <c r="B89" s="130"/>
      <c r="C89" s="163"/>
      <c r="D89" s="131"/>
      <c r="E89" s="131"/>
      <c r="F89" s="153" t="s">
        <v>87</v>
      </c>
      <c r="G89" s="154"/>
      <c r="H89" s="26">
        <f>ROUND((I89*E88),0)</f>
        <v>137</v>
      </c>
      <c r="I89" s="66">
        <v>5</v>
      </c>
      <c r="J89" s="98"/>
    </row>
    <row r="90" spans="2:10" ht="15.75" x14ac:dyDescent="0.25">
      <c r="B90" s="114"/>
      <c r="C90" s="116"/>
      <c r="D90" s="118"/>
      <c r="E90" s="118"/>
      <c r="F90" s="139" t="s">
        <v>88</v>
      </c>
      <c r="G90" s="140"/>
      <c r="H90" s="140"/>
      <c r="I90" s="174"/>
      <c r="J90" s="104"/>
    </row>
    <row r="91" spans="2:10" ht="15.75" x14ac:dyDescent="0.25">
      <c r="B91" s="80">
        <v>60</v>
      </c>
      <c r="C91" s="35" t="s">
        <v>64</v>
      </c>
      <c r="D91" s="86" t="s">
        <v>27</v>
      </c>
      <c r="E91" s="86">
        <f>0.84*I77</f>
        <v>4.2</v>
      </c>
      <c r="F91" s="139" t="s">
        <v>21</v>
      </c>
      <c r="G91" s="140"/>
      <c r="H91" s="140"/>
      <c r="I91" s="174"/>
      <c r="J91" s="104"/>
    </row>
    <row r="92" spans="2:10" ht="31.5" x14ac:dyDescent="0.25">
      <c r="B92" s="80">
        <v>61</v>
      </c>
      <c r="C92" s="90" t="s">
        <v>101</v>
      </c>
      <c r="D92" s="86" t="s">
        <v>27</v>
      </c>
      <c r="E92" s="4">
        <f>H92</f>
        <v>0.44999999999999996</v>
      </c>
      <c r="F92" s="133" t="s">
        <v>102</v>
      </c>
      <c r="G92" s="134"/>
      <c r="H92" s="175">
        <f>ROUND(18.3*0.17*0.03,2)*I77</f>
        <v>0.44999999999999996</v>
      </c>
      <c r="I92" s="176"/>
      <c r="J92" s="98"/>
    </row>
    <row r="93" spans="2:10" ht="15.75" x14ac:dyDescent="0.25">
      <c r="B93" s="80">
        <v>62</v>
      </c>
      <c r="C93" s="35" t="s">
        <v>46</v>
      </c>
      <c r="D93" s="86" t="s">
        <v>11</v>
      </c>
      <c r="E93" s="44">
        <f>(E80+E82)*24</f>
        <v>6.4320000000000004</v>
      </c>
      <c r="F93" s="133" t="s">
        <v>82</v>
      </c>
      <c r="G93" s="134"/>
      <c r="H93" s="134"/>
      <c r="I93" s="135"/>
      <c r="J93" s="98"/>
    </row>
    <row r="94" spans="2:10" ht="32.25" thickBot="1" x14ac:dyDescent="0.3">
      <c r="B94" s="80">
        <v>63</v>
      </c>
      <c r="C94" s="90" t="s">
        <v>47</v>
      </c>
      <c r="D94" s="86" t="s">
        <v>11</v>
      </c>
      <c r="E94" s="4">
        <f>E93</f>
        <v>6.4320000000000004</v>
      </c>
      <c r="F94" s="136" t="s">
        <v>83</v>
      </c>
      <c r="G94" s="137"/>
      <c r="H94" s="137"/>
      <c r="I94" s="138"/>
      <c r="J94" s="98"/>
    </row>
    <row r="95" spans="2:10" ht="33" customHeight="1" thickTop="1" thickBot="1" x14ac:dyDescent="0.3">
      <c r="B95" s="109" t="s">
        <v>107</v>
      </c>
      <c r="C95" s="110"/>
      <c r="D95" s="110"/>
      <c r="E95" s="110"/>
      <c r="F95" s="110"/>
      <c r="G95" s="110"/>
      <c r="H95" s="110"/>
      <c r="I95" s="21">
        <v>2</v>
      </c>
      <c r="J95" s="103"/>
    </row>
    <row r="96" spans="2:10" ht="16.5" thickTop="1" x14ac:dyDescent="0.25">
      <c r="B96" s="149">
        <v>64</v>
      </c>
      <c r="C96" s="184" t="s">
        <v>68</v>
      </c>
      <c r="D96" s="117" t="s">
        <v>44</v>
      </c>
      <c r="E96" s="119">
        <f>ROUND((I96*H96)/1000,3)</f>
        <v>1E-3</v>
      </c>
      <c r="F96" s="111" t="s">
        <v>105</v>
      </c>
      <c r="G96" s="112"/>
      <c r="H96" s="19">
        <f>2*I95</f>
        <v>4</v>
      </c>
      <c r="I96" s="53">
        <f>ROUND(0.325*0.617,2)</f>
        <v>0.2</v>
      </c>
      <c r="J96" s="98"/>
    </row>
    <row r="97" spans="2:10" ht="15.75" x14ac:dyDescent="0.25">
      <c r="B97" s="149"/>
      <c r="C97" s="184"/>
      <c r="D97" s="118"/>
      <c r="E97" s="120"/>
      <c r="F97" s="127" t="s">
        <v>53</v>
      </c>
      <c r="G97" s="128"/>
      <c r="H97" s="128"/>
      <c r="I97" s="129"/>
      <c r="J97" s="98"/>
    </row>
    <row r="98" spans="2:10" ht="15.75" x14ac:dyDescent="0.25">
      <c r="B98" s="80">
        <v>65</v>
      </c>
      <c r="C98" s="62" t="s">
        <v>80</v>
      </c>
      <c r="D98" s="75" t="s">
        <v>44</v>
      </c>
      <c r="E98" s="37">
        <f>ROUND(((H98*I98))/1000,3)</f>
        <v>4.1000000000000002E-2</v>
      </c>
      <c r="F98" s="133" t="s">
        <v>84</v>
      </c>
      <c r="G98" s="134"/>
      <c r="H98" s="24">
        <f>4*I95</f>
        <v>8</v>
      </c>
      <c r="I98" s="54">
        <f>ROUND(8.33*0.62,2)</f>
        <v>5.16</v>
      </c>
      <c r="J98" s="98"/>
    </row>
    <row r="99" spans="2:10" ht="15.75" x14ac:dyDescent="0.25">
      <c r="B99" s="80">
        <v>66</v>
      </c>
      <c r="C99" s="35" t="s">
        <v>55</v>
      </c>
      <c r="D99" s="86" t="s">
        <v>44</v>
      </c>
      <c r="E99" s="86">
        <f>ROUND((I99*H99)/1000,3)</f>
        <v>8.0000000000000002E-3</v>
      </c>
      <c r="F99" s="139" t="s">
        <v>16</v>
      </c>
      <c r="G99" s="140"/>
      <c r="H99" s="26">
        <f>4*I95</f>
        <v>8</v>
      </c>
      <c r="I99" s="52">
        <f>ROUND(0.11*0.2*0.006*7850,2)</f>
        <v>1.04</v>
      </c>
      <c r="J99" s="98"/>
    </row>
    <row r="100" spans="2:10" ht="15.75" x14ac:dyDescent="0.25">
      <c r="B100" s="80">
        <v>67</v>
      </c>
      <c r="C100" s="35" t="s">
        <v>66</v>
      </c>
      <c r="D100" s="86" t="s">
        <v>44</v>
      </c>
      <c r="E100" s="89">
        <f>ROUND((I100*H100)/1000,3)</f>
        <v>8.9999999999999993E-3</v>
      </c>
      <c r="F100" s="141" t="s">
        <v>56</v>
      </c>
      <c r="G100" s="142"/>
      <c r="H100" s="43">
        <f>1.37*I95</f>
        <v>2.74</v>
      </c>
      <c r="I100" s="65">
        <v>3.17</v>
      </c>
      <c r="J100" s="98"/>
    </row>
    <row r="101" spans="2:10" ht="15.75" x14ac:dyDescent="0.25">
      <c r="B101" s="113">
        <v>68</v>
      </c>
      <c r="C101" s="145" t="s">
        <v>67</v>
      </c>
      <c r="D101" s="117" t="s">
        <v>44</v>
      </c>
      <c r="E101" s="119">
        <f>ROUND((I101*H101)/1000,3)</f>
        <v>1.0999999999999999E-2</v>
      </c>
      <c r="F101" s="141" t="s">
        <v>19</v>
      </c>
      <c r="G101" s="142"/>
      <c r="H101" s="19">
        <f>9*I95</f>
        <v>18</v>
      </c>
      <c r="I101" s="53">
        <f>ROUND(0.16*2+0.1*3,2)</f>
        <v>0.62</v>
      </c>
      <c r="J101" s="98"/>
    </row>
    <row r="102" spans="2:10" ht="15.75" x14ac:dyDescent="0.25">
      <c r="B102" s="114"/>
      <c r="C102" s="146"/>
      <c r="D102" s="118"/>
      <c r="E102" s="120"/>
      <c r="F102" s="139" t="s">
        <v>86</v>
      </c>
      <c r="G102" s="140"/>
      <c r="H102" s="140"/>
      <c r="I102" s="174"/>
      <c r="J102" s="104"/>
    </row>
    <row r="103" spans="2:10" ht="15.75" x14ac:dyDescent="0.25">
      <c r="B103" s="80">
        <v>69</v>
      </c>
      <c r="C103" s="90" t="s">
        <v>59</v>
      </c>
      <c r="D103" s="86" t="s">
        <v>10</v>
      </c>
      <c r="E103" s="86">
        <f>8*I95</f>
        <v>16</v>
      </c>
      <c r="F103" s="127" t="s">
        <v>22</v>
      </c>
      <c r="G103" s="128"/>
      <c r="H103" s="128"/>
      <c r="I103" s="129"/>
      <c r="J103" s="98"/>
    </row>
    <row r="104" spans="2:10" ht="15.75" x14ac:dyDescent="0.25">
      <c r="B104" s="80">
        <v>70</v>
      </c>
      <c r="C104" s="90" t="s">
        <v>57</v>
      </c>
      <c r="D104" s="86" t="s">
        <v>10</v>
      </c>
      <c r="E104" s="86">
        <f>8*I95</f>
        <v>16</v>
      </c>
      <c r="F104" s="164" t="s">
        <v>58</v>
      </c>
      <c r="G104" s="164"/>
      <c r="H104" s="164"/>
      <c r="I104" s="165"/>
      <c r="J104" s="104"/>
    </row>
    <row r="105" spans="2:10" ht="15.75" x14ac:dyDescent="0.25">
      <c r="B105" s="113">
        <v>71</v>
      </c>
      <c r="C105" s="115" t="s">
        <v>65</v>
      </c>
      <c r="D105" s="117" t="s">
        <v>11</v>
      </c>
      <c r="E105" s="117">
        <f>H105</f>
        <v>2.94</v>
      </c>
      <c r="F105" s="141" t="s">
        <v>20</v>
      </c>
      <c r="G105" s="142"/>
      <c r="H105" s="43">
        <f>ROUND(4.9*0.3,2)*I95</f>
        <v>2.94</v>
      </c>
      <c r="I105" s="65">
        <v>11.2</v>
      </c>
      <c r="J105" s="98"/>
    </row>
    <row r="106" spans="2:10" ht="15.75" x14ac:dyDescent="0.25">
      <c r="B106" s="130"/>
      <c r="C106" s="163"/>
      <c r="D106" s="131"/>
      <c r="E106" s="131"/>
      <c r="F106" s="153" t="s">
        <v>87</v>
      </c>
      <c r="G106" s="154"/>
      <c r="H106" s="26">
        <f>ROUND((I106*E105),0)</f>
        <v>15</v>
      </c>
      <c r="I106" s="66">
        <v>5</v>
      </c>
      <c r="J106" s="98"/>
    </row>
    <row r="107" spans="2:10" ht="15.75" x14ac:dyDescent="0.25">
      <c r="B107" s="114"/>
      <c r="C107" s="116"/>
      <c r="D107" s="118"/>
      <c r="E107" s="118"/>
      <c r="F107" s="139" t="s">
        <v>88</v>
      </c>
      <c r="G107" s="140"/>
      <c r="H107" s="140"/>
      <c r="I107" s="174"/>
      <c r="J107" s="104"/>
    </row>
    <row r="108" spans="2:10" ht="15.75" x14ac:dyDescent="0.25">
      <c r="B108" s="80">
        <v>72</v>
      </c>
      <c r="C108" s="35" t="s">
        <v>64</v>
      </c>
      <c r="D108" s="86" t="s">
        <v>27</v>
      </c>
      <c r="E108" s="86">
        <f>0.22*I95</f>
        <v>0.44</v>
      </c>
      <c r="F108" s="139" t="s">
        <v>21</v>
      </c>
      <c r="G108" s="140"/>
      <c r="H108" s="140"/>
      <c r="I108" s="174"/>
      <c r="J108" s="104"/>
    </row>
    <row r="109" spans="2:10" ht="31.5" x14ac:dyDescent="0.25">
      <c r="B109" s="80">
        <v>73</v>
      </c>
      <c r="C109" s="90" t="s">
        <v>101</v>
      </c>
      <c r="D109" s="86" t="s">
        <v>27</v>
      </c>
      <c r="E109" s="4">
        <f>H109</f>
        <v>0.06</v>
      </c>
      <c r="F109" s="133" t="s">
        <v>102</v>
      </c>
      <c r="G109" s="134"/>
      <c r="H109" s="175">
        <f>0.03*I95</f>
        <v>0.06</v>
      </c>
      <c r="I109" s="176"/>
      <c r="J109" s="98"/>
    </row>
    <row r="110" spans="2:10" ht="15.75" x14ac:dyDescent="0.25">
      <c r="B110" s="80">
        <v>74</v>
      </c>
      <c r="C110" s="35" t="s">
        <v>46</v>
      </c>
      <c r="D110" s="86" t="s">
        <v>11</v>
      </c>
      <c r="E110" s="44">
        <f>(E98+E99)*24</f>
        <v>1.1760000000000002</v>
      </c>
      <c r="F110" s="133" t="s">
        <v>82</v>
      </c>
      <c r="G110" s="134"/>
      <c r="H110" s="134"/>
      <c r="I110" s="135"/>
      <c r="J110" s="98"/>
    </row>
    <row r="111" spans="2:10" ht="32.25" thickBot="1" x14ac:dyDescent="0.3">
      <c r="B111" s="80">
        <v>75</v>
      </c>
      <c r="C111" s="90" t="s">
        <v>47</v>
      </c>
      <c r="D111" s="86" t="s">
        <v>11</v>
      </c>
      <c r="E111" s="4">
        <f>E110</f>
        <v>1.1760000000000002</v>
      </c>
      <c r="F111" s="136" t="s">
        <v>83</v>
      </c>
      <c r="G111" s="137"/>
      <c r="H111" s="137"/>
      <c r="I111" s="138"/>
      <c r="J111" s="98"/>
    </row>
    <row r="112" spans="2:10" ht="29.25" customHeight="1" thickTop="1" thickBot="1" x14ac:dyDescent="0.3">
      <c r="B112" s="109" t="s">
        <v>108</v>
      </c>
      <c r="C112" s="110"/>
      <c r="D112" s="110"/>
      <c r="E112" s="110"/>
      <c r="F112" s="110"/>
      <c r="G112" s="110"/>
      <c r="H112" s="110"/>
      <c r="I112" s="21">
        <v>1</v>
      </c>
      <c r="J112" s="103"/>
    </row>
    <row r="113" spans="2:10" ht="16.5" thickTop="1" x14ac:dyDescent="0.25">
      <c r="B113" s="82">
        <v>76</v>
      </c>
      <c r="C113" s="79" t="s">
        <v>42</v>
      </c>
      <c r="D113" s="77" t="s">
        <v>44</v>
      </c>
      <c r="E113" s="85">
        <f>ROUND(I113*H113/1000,3)</f>
        <v>0.442</v>
      </c>
      <c r="F113" s="127" t="s">
        <v>51</v>
      </c>
      <c r="G113" s="128"/>
      <c r="H113" s="30">
        <f>31.12*I112</f>
        <v>31.12</v>
      </c>
      <c r="I113" s="61">
        <v>14.2</v>
      </c>
      <c r="J113" s="98"/>
    </row>
    <row r="114" spans="2:10" ht="15.75" x14ac:dyDescent="0.25">
      <c r="B114" s="113">
        <v>77</v>
      </c>
      <c r="C114" s="115" t="s">
        <v>49</v>
      </c>
      <c r="D114" s="117" t="s">
        <v>44</v>
      </c>
      <c r="E114" s="119">
        <f>ROUND((I114*H114)/1000,3)</f>
        <v>6.5000000000000002E-2</v>
      </c>
      <c r="F114" s="151" t="s">
        <v>45</v>
      </c>
      <c r="G114" s="152"/>
      <c r="H114" s="26">
        <f>108*I112</f>
        <v>108</v>
      </c>
      <c r="I114" s="52">
        <f>ROUND(0.68*0.888,2)</f>
        <v>0.6</v>
      </c>
      <c r="J114" s="98"/>
    </row>
    <row r="115" spans="2:10" ht="15.75" x14ac:dyDescent="0.25">
      <c r="B115" s="114"/>
      <c r="C115" s="116"/>
      <c r="D115" s="118"/>
      <c r="E115" s="120"/>
      <c r="F115" s="127" t="s">
        <v>50</v>
      </c>
      <c r="G115" s="128"/>
      <c r="H115" s="128"/>
      <c r="I115" s="129"/>
      <c r="J115" s="98"/>
    </row>
    <row r="116" spans="2:10" ht="15.75" x14ac:dyDescent="0.25">
      <c r="B116" s="113">
        <v>78</v>
      </c>
      <c r="C116" s="115" t="s">
        <v>68</v>
      </c>
      <c r="D116" s="131" t="s">
        <v>44</v>
      </c>
      <c r="E116" s="132">
        <f>ROUND((I116*H116)/1000,3)</f>
        <v>1E-3</v>
      </c>
      <c r="F116" s="111" t="s">
        <v>52</v>
      </c>
      <c r="G116" s="112"/>
      <c r="H116" s="19">
        <f>2*I112</f>
        <v>2</v>
      </c>
      <c r="I116" s="53">
        <f>ROUND(0.55*0.617,2)</f>
        <v>0.34</v>
      </c>
      <c r="J116" s="98"/>
    </row>
    <row r="117" spans="2:10" ht="15.75" x14ac:dyDescent="0.25">
      <c r="B117" s="114"/>
      <c r="C117" s="116"/>
      <c r="D117" s="118"/>
      <c r="E117" s="120"/>
      <c r="F117" s="127" t="s">
        <v>53</v>
      </c>
      <c r="G117" s="128"/>
      <c r="H117" s="128"/>
      <c r="I117" s="129"/>
      <c r="J117" s="98"/>
    </row>
    <row r="118" spans="2:10" ht="15.75" x14ac:dyDescent="0.25">
      <c r="B118" s="113">
        <v>79</v>
      </c>
      <c r="C118" s="115" t="s">
        <v>141</v>
      </c>
      <c r="D118" s="131" t="s">
        <v>44</v>
      </c>
      <c r="E118" s="155">
        <f>ROUND((I118*H118)/1000,4)</f>
        <v>2.0000000000000001E-4</v>
      </c>
      <c r="F118" s="111" t="s">
        <v>94</v>
      </c>
      <c r="G118" s="112"/>
      <c r="H118" s="19">
        <f>2*I112</f>
        <v>2</v>
      </c>
      <c r="I118" s="53">
        <f>ROUND(0.2*0.617,2)</f>
        <v>0.12</v>
      </c>
      <c r="J118" s="98"/>
    </row>
    <row r="119" spans="2:10" ht="15.75" x14ac:dyDescent="0.25">
      <c r="B119" s="114"/>
      <c r="C119" s="116"/>
      <c r="D119" s="118"/>
      <c r="E119" s="166"/>
      <c r="F119" s="127" t="s">
        <v>109</v>
      </c>
      <c r="G119" s="128"/>
      <c r="H119" s="128"/>
      <c r="I119" s="129"/>
      <c r="J119" s="98"/>
    </row>
    <row r="120" spans="2:10" ht="15.75" x14ac:dyDescent="0.25">
      <c r="B120" s="80">
        <v>80</v>
      </c>
      <c r="C120" s="33" t="s">
        <v>54</v>
      </c>
      <c r="D120" s="86" t="s">
        <v>44</v>
      </c>
      <c r="E120" s="86">
        <f>ROUND((I120*H120)/1000,3)</f>
        <v>5.0000000000000001E-3</v>
      </c>
      <c r="F120" s="121" t="s">
        <v>5</v>
      </c>
      <c r="G120" s="122"/>
      <c r="H120" s="24">
        <f>11*I112</f>
        <v>11</v>
      </c>
      <c r="I120" s="54">
        <f>ROUND(0.16*0.06*0.006*7850,2)</f>
        <v>0.45</v>
      </c>
      <c r="J120" s="98"/>
    </row>
    <row r="121" spans="2:10" ht="15.75" x14ac:dyDescent="0.25">
      <c r="B121" s="80">
        <v>81</v>
      </c>
      <c r="C121" s="33" t="s">
        <v>55</v>
      </c>
      <c r="D121" s="86" t="s">
        <v>44</v>
      </c>
      <c r="E121" s="86">
        <f>ROUND((I121*H121)/1000,3)</f>
        <v>1.7999999999999999E-2</v>
      </c>
      <c r="F121" s="121" t="s">
        <v>4</v>
      </c>
      <c r="G121" s="122"/>
      <c r="H121" s="26">
        <f>17*I112</f>
        <v>17</v>
      </c>
      <c r="I121" s="53">
        <f>ROUND(0.19*0.07*0.01*7850,2)</f>
        <v>1.04</v>
      </c>
      <c r="J121" s="98"/>
    </row>
    <row r="122" spans="2:10" ht="15.75" x14ac:dyDescent="0.25">
      <c r="B122" s="80">
        <v>82</v>
      </c>
      <c r="C122" s="33" t="s">
        <v>48</v>
      </c>
      <c r="D122" s="86" t="s">
        <v>44</v>
      </c>
      <c r="E122" s="89">
        <f>ROUND((I122*H122)/1000,3)</f>
        <v>3.4000000000000002E-2</v>
      </c>
      <c r="F122" s="121" t="s">
        <v>56</v>
      </c>
      <c r="G122" s="122"/>
      <c r="H122" s="28">
        <f>10.64*I112</f>
        <v>10.64</v>
      </c>
      <c r="I122" s="67">
        <v>3.17</v>
      </c>
      <c r="J122" s="98"/>
    </row>
    <row r="123" spans="2:10" ht="15.75" x14ac:dyDescent="0.25">
      <c r="B123" s="80">
        <v>83</v>
      </c>
      <c r="C123" s="88" t="s">
        <v>59</v>
      </c>
      <c r="D123" s="86" t="s">
        <v>10</v>
      </c>
      <c r="E123" s="86">
        <f>11*I112</f>
        <v>11</v>
      </c>
      <c r="F123" s="133" t="s">
        <v>22</v>
      </c>
      <c r="G123" s="134"/>
      <c r="H123" s="134"/>
      <c r="I123" s="135"/>
      <c r="J123" s="98"/>
    </row>
    <row r="124" spans="2:10" ht="15.75" x14ac:dyDescent="0.25">
      <c r="B124" s="80">
        <v>84</v>
      </c>
      <c r="C124" s="88" t="s">
        <v>57</v>
      </c>
      <c r="D124" s="86" t="s">
        <v>10</v>
      </c>
      <c r="E124" s="86">
        <f>11*I112</f>
        <v>11</v>
      </c>
      <c r="F124" s="143" t="s">
        <v>58</v>
      </c>
      <c r="G124" s="143"/>
      <c r="H124" s="143"/>
      <c r="I124" s="144"/>
      <c r="J124" s="104"/>
    </row>
    <row r="125" spans="2:10" ht="15.75" x14ac:dyDescent="0.25">
      <c r="B125" s="80">
        <v>85</v>
      </c>
      <c r="C125" s="33" t="s">
        <v>60</v>
      </c>
      <c r="D125" s="86" t="s">
        <v>44</v>
      </c>
      <c r="E125" s="86">
        <f>ROUND((H125*I125)/1000,3)</f>
        <v>0.17799999999999999</v>
      </c>
      <c r="F125" s="121" t="s">
        <v>61</v>
      </c>
      <c r="G125" s="122"/>
      <c r="H125" s="22">
        <f>112.66*I112</f>
        <v>112.66</v>
      </c>
      <c r="I125" s="55">
        <f>ROUND(1.578,2)</f>
        <v>1.58</v>
      </c>
      <c r="J125" s="98"/>
    </row>
    <row r="126" spans="2:10" ht="15.75" x14ac:dyDescent="0.25">
      <c r="B126" s="80">
        <v>86</v>
      </c>
      <c r="C126" s="33" t="s">
        <v>62</v>
      </c>
      <c r="D126" s="86" t="s">
        <v>27</v>
      </c>
      <c r="E126" s="86">
        <f>1.87*I112</f>
        <v>1.87</v>
      </c>
      <c r="F126" s="139" t="s">
        <v>21</v>
      </c>
      <c r="G126" s="140"/>
      <c r="H126" s="140"/>
      <c r="I126" s="174"/>
      <c r="J126" s="104"/>
    </row>
    <row r="127" spans="2:10" ht="15.75" x14ac:dyDescent="0.25">
      <c r="B127" s="80">
        <v>87</v>
      </c>
      <c r="C127" s="88" t="s">
        <v>81</v>
      </c>
      <c r="D127" s="86" t="s">
        <v>11</v>
      </c>
      <c r="E127" s="4">
        <f>E126/0.16</f>
        <v>11.6875</v>
      </c>
      <c r="F127" s="121" t="s">
        <v>22</v>
      </c>
      <c r="G127" s="122"/>
      <c r="H127" s="122"/>
      <c r="I127" s="123"/>
      <c r="J127" s="104"/>
    </row>
    <row r="128" spans="2:10" ht="15.75" x14ac:dyDescent="0.25">
      <c r="B128" s="80">
        <v>88</v>
      </c>
      <c r="C128" s="88" t="s">
        <v>90</v>
      </c>
      <c r="D128" s="86" t="s">
        <v>27</v>
      </c>
      <c r="E128" s="92">
        <f>(((0.09*0.01*(0.064+0.01+0.064))*5)+(0.09*0.01*0.064))*I112</f>
        <v>6.7860000000000001E-4</v>
      </c>
      <c r="F128" s="121" t="s">
        <v>137</v>
      </c>
      <c r="G128" s="122"/>
      <c r="H128" s="122"/>
      <c r="I128" s="123"/>
      <c r="J128" s="104"/>
    </row>
    <row r="129" spans="2:10" ht="15.75" x14ac:dyDescent="0.25">
      <c r="B129" s="80">
        <v>89</v>
      </c>
      <c r="C129" s="33" t="s">
        <v>46</v>
      </c>
      <c r="D129" s="86" t="s">
        <v>11</v>
      </c>
      <c r="E129" s="4">
        <f>(E113+E120+E121)*24</f>
        <v>11.16</v>
      </c>
      <c r="F129" s="133" t="s">
        <v>82</v>
      </c>
      <c r="G129" s="134"/>
      <c r="H129" s="134"/>
      <c r="I129" s="135"/>
      <c r="J129" s="98"/>
    </row>
    <row r="130" spans="2:10" ht="32.25" thickBot="1" x14ac:dyDescent="0.3">
      <c r="B130" s="81">
        <v>90</v>
      </c>
      <c r="C130" s="76" t="s">
        <v>47</v>
      </c>
      <c r="D130" s="74" t="s">
        <v>11</v>
      </c>
      <c r="E130" s="41">
        <f>E129</f>
        <v>11.16</v>
      </c>
      <c r="F130" s="111" t="s">
        <v>83</v>
      </c>
      <c r="G130" s="112"/>
      <c r="H130" s="112"/>
      <c r="I130" s="167"/>
      <c r="J130" s="98"/>
    </row>
    <row r="131" spans="2:10" ht="29.25" customHeight="1" thickTop="1" thickBot="1" x14ac:dyDescent="0.3">
      <c r="B131" s="109" t="s">
        <v>110</v>
      </c>
      <c r="C131" s="110"/>
      <c r="D131" s="110"/>
      <c r="E131" s="110"/>
      <c r="F131" s="110"/>
      <c r="G131" s="110"/>
      <c r="H131" s="110"/>
      <c r="I131" s="21">
        <v>1</v>
      </c>
      <c r="J131" s="103"/>
    </row>
    <row r="132" spans="2:10" ht="16.5" thickTop="1" x14ac:dyDescent="0.25">
      <c r="B132" s="82">
        <v>91</v>
      </c>
      <c r="C132" s="79" t="s">
        <v>42</v>
      </c>
      <c r="D132" s="77" t="s">
        <v>44</v>
      </c>
      <c r="E132" s="85">
        <f>ROUND(I132*H132/1000,3)</f>
        <v>0.28499999999999998</v>
      </c>
      <c r="F132" s="159" t="s">
        <v>51</v>
      </c>
      <c r="G132" s="160"/>
      <c r="H132" s="30">
        <f>20.06*I131</f>
        <v>20.059999999999999</v>
      </c>
      <c r="I132" s="61">
        <v>14.2</v>
      </c>
      <c r="J132" s="98"/>
    </row>
    <row r="133" spans="2:10" ht="15.75" x14ac:dyDescent="0.25">
      <c r="B133" s="113">
        <v>92</v>
      </c>
      <c r="C133" s="115" t="s">
        <v>49</v>
      </c>
      <c r="D133" s="117" t="s">
        <v>44</v>
      </c>
      <c r="E133" s="119">
        <f>ROUND((I133*H133)/1000,3)</f>
        <v>4.7E-2</v>
      </c>
      <c r="F133" s="151" t="s">
        <v>45</v>
      </c>
      <c r="G133" s="152"/>
      <c r="H133" s="26">
        <f>78*I131</f>
        <v>78</v>
      </c>
      <c r="I133" s="52">
        <f>ROUND(0.68*0.888,2)</f>
        <v>0.6</v>
      </c>
      <c r="J133" s="98"/>
    </row>
    <row r="134" spans="2:10" ht="15.75" x14ac:dyDescent="0.25">
      <c r="B134" s="114"/>
      <c r="C134" s="116"/>
      <c r="D134" s="118"/>
      <c r="E134" s="120"/>
      <c r="F134" s="127" t="s">
        <v>50</v>
      </c>
      <c r="G134" s="128"/>
      <c r="H134" s="128"/>
      <c r="I134" s="129"/>
      <c r="J134" s="98"/>
    </row>
    <row r="135" spans="2:10" ht="15.75" customHeight="1" x14ac:dyDescent="0.25">
      <c r="B135" s="113">
        <v>93</v>
      </c>
      <c r="C135" s="115" t="s">
        <v>141</v>
      </c>
      <c r="D135" s="131" t="s">
        <v>44</v>
      </c>
      <c r="E135" s="155">
        <f>ROUND((I135*H135)/1000,4)</f>
        <v>5.0000000000000001E-4</v>
      </c>
      <c r="F135" s="111" t="s">
        <v>94</v>
      </c>
      <c r="G135" s="112"/>
      <c r="H135" s="19">
        <f>4*I131</f>
        <v>4</v>
      </c>
      <c r="I135" s="53">
        <f>ROUND(0.2*0.617,2)</f>
        <v>0.12</v>
      </c>
      <c r="J135" s="98"/>
    </row>
    <row r="136" spans="2:10" ht="15.75" x14ac:dyDescent="0.25">
      <c r="B136" s="114"/>
      <c r="C136" s="116"/>
      <c r="D136" s="118"/>
      <c r="E136" s="166"/>
      <c r="F136" s="127" t="s">
        <v>109</v>
      </c>
      <c r="G136" s="128"/>
      <c r="H136" s="128"/>
      <c r="I136" s="129"/>
      <c r="J136" s="98"/>
    </row>
    <row r="137" spans="2:10" ht="15.75" x14ac:dyDescent="0.25">
      <c r="B137" s="80">
        <v>94</v>
      </c>
      <c r="C137" s="33" t="s">
        <v>54</v>
      </c>
      <c r="D137" s="86" t="s">
        <v>44</v>
      </c>
      <c r="E137" s="86">
        <f>ROUND((I137*H137)/1000,3)</f>
        <v>4.0000000000000001E-3</v>
      </c>
      <c r="F137" s="121" t="s">
        <v>5</v>
      </c>
      <c r="G137" s="122"/>
      <c r="H137" s="24">
        <f>8*I131</f>
        <v>8</v>
      </c>
      <c r="I137" s="54">
        <f>ROUND(0.16*0.06*0.006*7850,2)</f>
        <v>0.45</v>
      </c>
      <c r="J137" s="98"/>
    </row>
    <row r="138" spans="2:10" ht="15.75" x14ac:dyDescent="0.25">
      <c r="B138" s="80">
        <v>95</v>
      </c>
      <c r="C138" s="33" t="s">
        <v>55</v>
      </c>
      <c r="D138" s="86" t="s">
        <v>44</v>
      </c>
      <c r="E138" s="86">
        <f>ROUND((I138*H138)/1000,3)</f>
        <v>8.0000000000000002E-3</v>
      </c>
      <c r="F138" s="121" t="s">
        <v>4</v>
      </c>
      <c r="G138" s="122"/>
      <c r="H138" s="26">
        <f>8*I131</f>
        <v>8</v>
      </c>
      <c r="I138" s="53">
        <f>ROUND(0.19*0.07*0.01*7850,2)</f>
        <v>1.04</v>
      </c>
      <c r="J138" s="98"/>
    </row>
    <row r="139" spans="2:10" ht="15.75" x14ac:dyDescent="0.25">
      <c r="B139" s="80">
        <v>96</v>
      </c>
      <c r="C139" s="33" t="s">
        <v>48</v>
      </c>
      <c r="D139" s="86" t="s">
        <v>44</v>
      </c>
      <c r="E139" s="89">
        <f>ROUND((I139*H139)/1000,3)</f>
        <v>2.1000000000000001E-2</v>
      </c>
      <c r="F139" s="121" t="s">
        <v>56</v>
      </c>
      <c r="G139" s="122"/>
      <c r="H139" s="28">
        <f>6.5*I131</f>
        <v>6.5</v>
      </c>
      <c r="I139" s="67">
        <v>3.17</v>
      </c>
      <c r="J139" s="98"/>
    </row>
    <row r="140" spans="2:10" ht="15.75" x14ac:dyDescent="0.25">
      <c r="B140" s="80">
        <v>97</v>
      </c>
      <c r="C140" s="88" t="s">
        <v>59</v>
      </c>
      <c r="D140" s="86" t="s">
        <v>10</v>
      </c>
      <c r="E140" s="86">
        <f>8*I131</f>
        <v>8</v>
      </c>
      <c r="F140" s="133" t="s">
        <v>22</v>
      </c>
      <c r="G140" s="134"/>
      <c r="H140" s="134"/>
      <c r="I140" s="135"/>
      <c r="J140" s="98"/>
    </row>
    <row r="141" spans="2:10" ht="15.75" x14ac:dyDescent="0.25">
      <c r="B141" s="80">
        <v>98</v>
      </c>
      <c r="C141" s="88" t="s">
        <v>57</v>
      </c>
      <c r="D141" s="86" t="s">
        <v>10</v>
      </c>
      <c r="E141" s="86">
        <f>8*I131</f>
        <v>8</v>
      </c>
      <c r="F141" s="143" t="s">
        <v>58</v>
      </c>
      <c r="G141" s="143"/>
      <c r="H141" s="143"/>
      <c r="I141" s="144"/>
      <c r="J141" s="104"/>
    </row>
    <row r="142" spans="2:10" ht="15.75" x14ac:dyDescent="0.25">
      <c r="B142" s="80">
        <v>99</v>
      </c>
      <c r="C142" s="33" t="s">
        <v>60</v>
      </c>
      <c r="D142" s="86" t="s">
        <v>44</v>
      </c>
      <c r="E142" s="89">
        <f>ROUND((H142*I142)/1000,3)</f>
        <v>0.11</v>
      </c>
      <c r="F142" s="121" t="s">
        <v>61</v>
      </c>
      <c r="G142" s="122"/>
      <c r="H142" s="22">
        <f>69.53*I131</f>
        <v>69.53</v>
      </c>
      <c r="I142" s="55">
        <f>ROUND(1.578,2)</f>
        <v>1.58</v>
      </c>
      <c r="J142" s="98"/>
    </row>
    <row r="143" spans="2:10" ht="15.75" x14ac:dyDescent="0.25">
      <c r="B143" s="80">
        <v>100</v>
      </c>
      <c r="C143" s="33" t="s">
        <v>62</v>
      </c>
      <c r="D143" s="86" t="s">
        <v>27</v>
      </c>
      <c r="E143" s="86">
        <f>1.04*I131</f>
        <v>1.04</v>
      </c>
      <c r="F143" s="121" t="s">
        <v>21</v>
      </c>
      <c r="G143" s="122"/>
      <c r="H143" s="122"/>
      <c r="I143" s="123"/>
      <c r="J143" s="104"/>
    </row>
    <row r="144" spans="2:10" ht="15.75" x14ac:dyDescent="0.25">
      <c r="B144" s="80">
        <v>101</v>
      </c>
      <c r="C144" s="88" t="s">
        <v>81</v>
      </c>
      <c r="D144" s="86" t="s">
        <v>11</v>
      </c>
      <c r="E144" s="4">
        <f>E143/0.16</f>
        <v>6.5</v>
      </c>
      <c r="F144" s="121" t="s">
        <v>22</v>
      </c>
      <c r="G144" s="122"/>
      <c r="H144" s="122"/>
      <c r="I144" s="123"/>
      <c r="J144" s="104"/>
    </row>
    <row r="145" spans="2:10" ht="15.75" x14ac:dyDescent="0.25">
      <c r="B145" s="80">
        <v>102</v>
      </c>
      <c r="C145" s="88" t="s">
        <v>90</v>
      </c>
      <c r="D145" s="86" t="s">
        <v>27</v>
      </c>
      <c r="E145" s="92">
        <f>((0.09*0.01*(0.064+0.01+0.064))*4)*I131</f>
        <v>4.9680000000000004E-4</v>
      </c>
      <c r="F145" s="121" t="s">
        <v>137</v>
      </c>
      <c r="G145" s="122"/>
      <c r="H145" s="122"/>
      <c r="I145" s="123"/>
      <c r="J145" s="104"/>
    </row>
    <row r="146" spans="2:10" ht="15.75" x14ac:dyDescent="0.25">
      <c r="B146" s="80">
        <v>103</v>
      </c>
      <c r="C146" s="33" t="s">
        <v>46</v>
      </c>
      <c r="D146" s="86" t="s">
        <v>11</v>
      </c>
      <c r="E146" s="4">
        <f>(E132+E137+E138)*24</f>
        <v>7.1280000000000001</v>
      </c>
      <c r="F146" s="133" t="s">
        <v>82</v>
      </c>
      <c r="G146" s="134"/>
      <c r="H146" s="134"/>
      <c r="I146" s="135"/>
      <c r="J146" s="98"/>
    </row>
    <row r="147" spans="2:10" ht="32.25" thickBot="1" x14ac:dyDescent="0.3">
      <c r="B147" s="56">
        <v>104</v>
      </c>
      <c r="C147" s="57" t="s">
        <v>47</v>
      </c>
      <c r="D147" s="58" t="s">
        <v>11</v>
      </c>
      <c r="E147" s="59">
        <f>E146</f>
        <v>7.1280000000000001</v>
      </c>
      <c r="F147" s="136" t="s">
        <v>83</v>
      </c>
      <c r="G147" s="137"/>
      <c r="H147" s="137"/>
      <c r="I147" s="138"/>
      <c r="J147" s="98"/>
    </row>
    <row r="148" spans="2:10" ht="30" customHeight="1" thickTop="1" thickBot="1" x14ac:dyDescent="0.3">
      <c r="B148" s="109" t="s">
        <v>113</v>
      </c>
      <c r="C148" s="110"/>
      <c r="D148" s="110"/>
      <c r="E148" s="110"/>
      <c r="F148" s="110"/>
      <c r="G148" s="110"/>
      <c r="H148" s="110"/>
      <c r="I148" s="21">
        <v>1</v>
      </c>
      <c r="J148" s="103"/>
    </row>
    <row r="149" spans="2:10" ht="16.5" thickTop="1" x14ac:dyDescent="0.25">
      <c r="B149" s="82">
        <v>105</v>
      </c>
      <c r="C149" s="79" t="s">
        <v>42</v>
      </c>
      <c r="D149" s="77" t="s">
        <v>44</v>
      </c>
      <c r="E149" s="85">
        <f>ROUND(I149*H149/1000,3)</f>
        <v>0.19600000000000001</v>
      </c>
      <c r="F149" s="159" t="s">
        <v>51</v>
      </c>
      <c r="G149" s="160"/>
      <c r="H149" s="30">
        <f>13.8*I148</f>
        <v>13.8</v>
      </c>
      <c r="I149" s="61">
        <v>14.2</v>
      </c>
      <c r="J149" s="98"/>
    </row>
    <row r="150" spans="2:10" ht="15.75" x14ac:dyDescent="0.25">
      <c r="B150" s="113">
        <v>106</v>
      </c>
      <c r="C150" s="115" t="s">
        <v>49</v>
      </c>
      <c r="D150" s="117" t="s">
        <v>44</v>
      </c>
      <c r="E150" s="119">
        <f>ROUND((I150*H150)/1000,3)</f>
        <v>5.3999999999999999E-2</v>
      </c>
      <c r="F150" s="151" t="s">
        <v>45</v>
      </c>
      <c r="G150" s="152"/>
      <c r="H150" s="26">
        <f>90*I148</f>
        <v>90</v>
      </c>
      <c r="I150" s="52">
        <f>ROUND(0.68*0.888,2)</f>
        <v>0.6</v>
      </c>
      <c r="J150" s="98"/>
    </row>
    <row r="151" spans="2:10" ht="15.75" x14ac:dyDescent="0.25">
      <c r="B151" s="114"/>
      <c r="C151" s="116"/>
      <c r="D151" s="118"/>
      <c r="E151" s="120"/>
      <c r="F151" s="127" t="s">
        <v>50</v>
      </c>
      <c r="G151" s="128"/>
      <c r="H151" s="128"/>
      <c r="I151" s="129"/>
      <c r="J151" s="98"/>
    </row>
    <row r="152" spans="2:10" ht="15.75" x14ac:dyDescent="0.25">
      <c r="B152" s="113">
        <v>107</v>
      </c>
      <c r="C152" s="115" t="s">
        <v>68</v>
      </c>
      <c r="D152" s="131" t="s">
        <v>44</v>
      </c>
      <c r="E152" s="132">
        <f>ROUND((I152*H152)/1000,3)</f>
        <v>1E-3</v>
      </c>
      <c r="F152" s="111" t="s">
        <v>52</v>
      </c>
      <c r="G152" s="112"/>
      <c r="H152" s="19">
        <f>3*I148</f>
        <v>3</v>
      </c>
      <c r="I152" s="53">
        <f>ROUND(0.55*0.617,2)</f>
        <v>0.34</v>
      </c>
      <c r="J152" s="98"/>
    </row>
    <row r="153" spans="2:10" ht="15.75" x14ac:dyDescent="0.25">
      <c r="B153" s="114"/>
      <c r="C153" s="116"/>
      <c r="D153" s="118"/>
      <c r="E153" s="120"/>
      <c r="F153" s="127" t="s">
        <v>53</v>
      </c>
      <c r="G153" s="128"/>
      <c r="H153" s="128"/>
      <c r="I153" s="129"/>
      <c r="J153" s="98"/>
    </row>
    <row r="154" spans="2:10" ht="15.75" x14ac:dyDescent="0.25">
      <c r="B154" s="113">
        <v>108</v>
      </c>
      <c r="C154" s="115" t="s">
        <v>141</v>
      </c>
      <c r="D154" s="131" t="s">
        <v>44</v>
      </c>
      <c r="E154" s="155">
        <f>ROUND((I154*H154)/1000,4)</f>
        <v>2.0000000000000001E-4</v>
      </c>
      <c r="F154" s="111" t="s">
        <v>94</v>
      </c>
      <c r="G154" s="112"/>
      <c r="H154" s="19">
        <f>2*I148</f>
        <v>2</v>
      </c>
      <c r="I154" s="53">
        <f>ROUND(0.2*0.617,2)</f>
        <v>0.12</v>
      </c>
      <c r="J154" s="98"/>
    </row>
    <row r="155" spans="2:10" ht="15.75" x14ac:dyDescent="0.25">
      <c r="B155" s="114"/>
      <c r="C155" s="116"/>
      <c r="D155" s="118"/>
      <c r="E155" s="166"/>
      <c r="F155" s="127" t="s">
        <v>109</v>
      </c>
      <c r="G155" s="128"/>
      <c r="H155" s="128"/>
      <c r="I155" s="129"/>
      <c r="J155" s="98"/>
    </row>
    <row r="156" spans="2:10" ht="15.75" x14ac:dyDescent="0.25">
      <c r="B156" s="80">
        <v>109</v>
      </c>
      <c r="C156" s="33" t="s">
        <v>54</v>
      </c>
      <c r="D156" s="86" t="s">
        <v>44</v>
      </c>
      <c r="E156" s="86">
        <f>ROUND((I156*H156)/1000,3)</f>
        <v>3.0000000000000001E-3</v>
      </c>
      <c r="F156" s="121" t="s">
        <v>5</v>
      </c>
      <c r="G156" s="122"/>
      <c r="H156" s="24">
        <f>6*I148</f>
        <v>6</v>
      </c>
      <c r="I156" s="54">
        <f>ROUND(0.16*0.06*0.006*7850,2)</f>
        <v>0.45</v>
      </c>
      <c r="J156" s="98"/>
    </row>
    <row r="157" spans="2:10" ht="15.75" x14ac:dyDescent="0.25">
      <c r="B157" s="80">
        <v>110</v>
      </c>
      <c r="C157" s="33" t="s">
        <v>55</v>
      </c>
      <c r="D157" s="86" t="s">
        <v>44</v>
      </c>
      <c r="E157" s="86">
        <f>ROUND((I157*H157)/1000,3)</f>
        <v>4.0000000000000001E-3</v>
      </c>
      <c r="F157" s="121" t="s">
        <v>4</v>
      </c>
      <c r="G157" s="122"/>
      <c r="H157" s="26">
        <f>4*I148</f>
        <v>4</v>
      </c>
      <c r="I157" s="53">
        <f>ROUND(0.19*0.07*0.01*7850,2)</f>
        <v>1.04</v>
      </c>
      <c r="J157" s="98"/>
    </row>
    <row r="158" spans="2:10" ht="15.75" x14ac:dyDescent="0.25">
      <c r="B158" s="80">
        <v>111</v>
      </c>
      <c r="C158" s="33" t="s">
        <v>48</v>
      </c>
      <c r="D158" s="86" t="s">
        <v>44</v>
      </c>
      <c r="E158" s="89">
        <f>ROUND((I158*H158)/1000,3)</f>
        <v>2.5000000000000001E-2</v>
      </c>
      <c r="F158" s="121" t="s">
        <v>56</v>
      </c>
      <c r="G158" s="122"/>
      <c r="H158" s="28">
        <f>7.8*I148</f>
        <v>7.8</v>
      </c>
      <c r="I158" s="67">
        <v>3.17</v>
      </c>
      <c r="J158" s="98"/>
    </row>
    <row r="159" spans="2:10" ht="15.75" x14ac:dyDescent="0.25">
      <c r="B159" s="80">
        <v>112</v>
      </c>
      <c r="C159" s="88" t="s">
        <v>59</v>
      </c>
      <c r="D159" s="86" t="s">
        <v>10</v>
      </c>
      <c r="E159" s="86">
        <f>6*I148</f>
        <v>6</v>
      </c>
      <c r="F159" s="133" t="s">
        <v>22</v>
      </c>
      <c r="G159" s="134"/>
      <c r="H159" s="134"/>
      <c r="I159" s="135"/>
      <c r="J159" s="98"/>
    </row>
    <row r="160" spans="2:10" ht="15.75" x14ac:dyDescent="0.25">
      <c r="B160" s="80">
        <v>113</v>
      </c>
      <c r="C160" s="88" t="s">
        <v>57</v>
      </c>
      <c r="D160" s="86" t="s">
        <v>10</v>
      </c>
      <c r="E160" s="86">
        <f>6*I148</f>
        <v>6</v>
      </c>
      <c r="F160" s="143" t="s">
        <v>58</v>
      </c>
      <c r="G160" s="143"/>
      <c r="H160" s="143"/>
      <c r="I160" s="144"/>
      <c r="J160" s="104"/>
    </row>
    <row r="161" spans="2:10" ht="15.75" x14ac:dyDescent="0.25">
      <c r="B161" s="80">
        <v>114</v>
      </c>
      <c r="C161" s="33" t="s">
        <v>60</v>
      </c>
      <c r="D161" s="86" t="s">
        <v>44</v>
      </c>
      <c r="E161" s="89">
        <f>ROUND((H161*I161)/1000,3)</f>
        <v>0.13100000000000001</v>
      </c>
      <c r="F161" s="121" t="s">
        <v>61</v>
      </c>
      <c r="G161" s="122"/>
      <c r="H161" s="22">
        <f>82.95*I148</f>
        <v>82.95</v>
      </c>
      <c r="I161" s="55">
        <f>ROUND(1.578,2)</f>
        <v>1.58</v>
      </c>
      <c r="J161" s="98"/>
    </row>
    <row r="162" spans="2:10" ht="15.75" x14ac:dyDescent="0.25">
      <c r="B162" s="80">
        <v>115</v>
      </c>
      <c r="C162" s="33" t="s">
        <v>62</v>
      </c>
      <c r="D162" s="86" t="s">
        <v>27</v>
      </c>
      <c r="E162" s="86">
        <f>1.37*I148</f>
        <v>1.37</v>
      </c>
      <c r="F162" s="121" t="s">
        <v>21</v>
      </c>
      <c r="G162" s="122"/>
      <c r="H162" s="122"/>
      <c r="I162" s="123"/>
      <c r="J162" s="104"/>
    </row>
    <row r="163" spans="2:10" ht="15.75" x14ac:dyDescent="0.25">
      <c r="B163" s="80">
        <v>116</v>
      </c>
      <c r="C163" s="88" t="s">
        <v>81</v>
      </c>
      <c r="D163" s="86" t="s">
        <v>11</v>
      </c>
      <c r="E163" s="4">
        <f>E162/0.16</f>
        <v>8.5625</v>
      </c>
      <c r="F163" s="121" t="s">
        <v>22</v>
      </c>
      <c r="G163" s="122"/>
      <c r="H163" s="122"/>
      <c r="I163" s="123"/>
      <c r="J163" s="104"/>
    </row>
    <row r="164" spans="2:10" ht="15.75" x14ac:dyDescent="0.25">
      <c r="B164" s="80">
        <v>117</v>
      </c>
      <c r="C164" s="88" t="s">
        <v>90</v>
      </c>
      <c r="D164" s="86" t="s">
        <v>27</v>
      </c>
      <c r="E164" s="92">
        <f>(((0.09*0.01*(0.064+0.01+0.064))*2)+((0.09*0.01*0.064)*2))*I148</f>
        <v>3.636E-4</v>
      </c>
      <c r="F164" s="121" t="s">
        <v>137</v>
      </c>
      <c r="G164" s="122"/>
      <c r="H164" s="122"/>
      <c r="I164" s="123"/>
      <c r="J164" s="104"/>
    </row>
    <row r="165" spans="2:10" ht="15.75" x14ac:dyDescent="0.25">
      <c r="B165" s="80">
        <v>118</v>
      </c>
      <c r="C165" s="33" t="s">
        <v>46</v>
      </c>
      <c r="D165" s="86" t="s">
        <v>11</v>
      </c>
      <c r="E165" s="4">
        <f>(E149+E156+E157)*24</f>
        <v>4.8719999999999999</v>
      </c>
      <c r="F165" s="133" t="s">
        <v>82</v>
      </c>
      <c r="G165" s="134"/>
      <c r="H165" s="134"/>
      <c r="I165" s="135"/>
      <c r="J165" s="98"/>
    </row>
    <row r="166" spans="2:10" ht="32.25" thickBot="1" x14ac:dyDescent="0.3">
      <c r="B166" s="56">
        <v>119</v>
      </c>
      <c r="C166" s="57" t="s">
        <v>47</v>
      </c>
      <c r="D166" s="58" t="s">
        <v>11</v>
      </c>
      <c r="E166" s="59">
        <f>E165</f>
        <v>4.8719999999999999</v>
      </c>
      <c r="F166" s="136" t="s">
        <v>83</v>
      </c>
      <c r="G166" s="137"/>
      <c r="H166" s="137"/>
      <c r="I166" s="138"/>
      <c r="J166" s="98"/>
    </row>
    <row r="167" spans="2:10" ht="33.75" customHeight="1" thickTop="1" thickBot="1" x14ac:dyDescent="0.3">
      <c r="B167" s="109" t="s">
        <v>114</v>
      </c>
      <c r="C167" s="110"/>
      <c r="D167" s="110"/>
      <c r="E167" s="110"/>
      <c r="F167" s="110"/>
      <c r="G167" s="110"/>
      <c r="H167" s="110"/>
      <c r="I167" s="21">
        <v>1</v>
      </c>
      <c r="J167" s="103"/>
    </row>
    <row r="168" spans="2:10" ht="16.5" thickTop="1" x14ac:dyDescent="0.25">
      <c r="B168" s="82">
        <v>120</v>
      </c>
      <c r="C168" s="79" t="s">
        <v>42</v>
      </c>
      <c r="D168" s="77" t="s">
        <v>44</v>
      </c>
      <c r="E168" s="85">
        <f>ROUND(I168*H168/1000,3)</f>
        <v>0.27500000000000002</v>
      </c>
      <c r="F168" s="159" t="s">
        <v>51</v>
      </c>
      <c r="G168" s="160"/>
      <c r="H168" s="30">
        <f>19.34*I167</f>
        <v>19.34</v>
      </c>
      <c r="I168" s="61">
        <v>14.2</v>
      </c>
      <c r="J168" s="98"/>
    </row>
    <row r="169" spans="2:10" ht="15.75" x14ac:dyDescent="0.25">
      <c r="B169" s="113">
        <v>121</v>
      </c>
      <c r="C169" s="115" t="s">
        <v>49</v>
      </c>
      <c r="D169" s="117" t="s">
        <v>44</v>
      </c>
      <c r="E169" s="119">
        <f>ROUND((I169*H169)/1000,3)</f>
        <v>4.2999999999999997E-2</v>
      </c>
      <c r="F169" s="151" t="s">
        <v>45</v>
      </c>
      <c r="G169" s="152"/>
      <c r="H169" s="26">
        <f>72*I167</f>
        <v>72</v>
      </c>
      <c r="I169" s="52">
        <f>ROUND(0.68*0.888,2)</f>
        <v>0.6</v>
      </c>
      <c r="J169" s="98"/>
    </row>
    <row r="170" spans="2:10" ht="15.75" x14ac:dyDescent="0.25">
      <c r="B170" s="114"/>
      <c r="C170" s="116"/>
      <c r="D170" s="118"/>
      <c r="E170" s="120"/>
      <c r="F170" s="127" t="s">
        <v>50</v>
      </c>
      <c r="G170" s="128"/>
      <c r="H170" s="128"/>
      <c r="I170" s="129"/>
      <c r="J170" s="98"/>
    </row>
    <row r="171" spans="2:10" ht="15.75" x14ac:dyDescent="0.25">
      <c r="B171" s="149">
        <v>122</v>
      </c>
      <c r="C171" s="161" t="s">
        <v>68</v>
      </c>
      <c r="D171" s="162" t="s">
        <v>44</v>
      </c>
      <c r="E171" s="168">
        <f>ROUND((I171*H171)/1000,4)</f>
        <v>2.9999999999999997E-4</v>
      </c>
      <c r="F171" s="111" t="s">
        <v>52</v>
      </c>
      <c r="G171" s="112"/>
      <c r="H171" s="19">
        <f>1*I167</f>
        <v>1</v>
      </c>
      <c r="I171" s="53">
        <f>ROUND(0.55*0.617,2)</f>
        <v>0.34</v>
      </c>
      <c r="J171" s="98"/>
    </row>
    <row r="172" spans="2:10" ht="15.75" x14ac:dyDescent="0.25">
      <c r="B172" s="149"/>
      <c r="C172" s="161"/>
      <c r="D172" s="162"/>
      <c r="E172" s="168"/>
      <c r="F172" s="127" t="s">
        <v>53</v>
      </c>
      <c r="G172" s="128"/>
      <c r="H172" s="128"/>
      <c r="I172" s="129"/>
      <c r="J172" s="98"/>
    </row>
    <row r="173" spans="2:10" ht="15.75" x14ac:dyDescent="0.25">
      <c r="B173" s="113">
        <v>123</v>
      </c>
      <c r="C173" s="115" t="s">
        <v>141</v>
      </c>
      <c r="D173" s="131" t="s">
        <v>44</v>
      </c>
      <c r="E173" s="155">
        <f>ROUND((I173*H173)/1000,4)</f>
        <v>5.0000000000000001E-4</v>
      </c>
      <c r="F173" s="111" t="s">
        <v>94</v>
      </c>
      <c r="G173" s="112"/>
      <c r="H173" s="19">
        <f>4*I167</f>
        <v>4</v>
      </c>
      <c r="I173" s="53">
        <f>ROUND(0.2*0.617,2)</f>
        <v>0.12</v>
      </c>
      <c r="J173" s="98"/>
    </row>
    <row r="174" spans="2:10" ht="15.75" x14ac:dyDescent="0.25">
      <c r="B174" s="114"/>
      <c r="C174" s="116"/>
      <c r="D174" s="118"/>
      <c r="E174" s="166"/>
      <c r="F174" s="127" t="s">
        <v>109</v>
      </c>
      <c r="G174" s="128"/>
      <c r="H174" s="128"/>
      <c r="I174" s="129"/>
      <c r="J174" s="98"/>
    </row>
    <row r="175" spans="2:10" ht="15.75" x14ac:dyDescent="0.25">
      <c r="B175" s="80">
        <v>124</v>
      </c>
      <c r="C175" s="33" t="s">
        <v>54</v>
      </c>
      <c r="D175" s="86" t="s">
        <v>44</v>
      </c>
      <c r="E175" s="86">
        <f>ROUND((I175*H175)/1000,3)</f>
        <v>4.0000000000000001E-3</v>
      </c>
      <c r="F175" s="141" t="s">
        <v>5</v>
      </c>
      <c r="G175" s="142"/>
      <c r="H175" s="19">
        <f>9*I167</f>
        <v>9</v>
      </c>
      <c r="I175" s="53">
        <f>ROUND(0.16*0.06*0.006*7850,2)</f>
        <v>0.45</v>
      </c>
      <c r="J175" s="98"/>
    </row>
    <row r="176" spans="2:10" ht="15.75" x14ac:dyDescent="0.25">
      <c r="B176" s="80">
        <v>125</v>
      </c>
      <c r="C176" s="145" t="s">
        <v>55</v>
      </c>
      <c r="D176" s="117" t="s">
        <v>44</v>
      </c>
      <c r="E176" s="147">
        <f>ROUND((I176*H176)/1000,3)+ROUND(H177*I177/1000,3)</f>
        <v>9.0000000000000011E-3</v>
      </c>
      <c r="F176" s="141" t="s">
        <v>4</v>
      </c>
      <c r="G176" s="142"/>
      <c r="H176" s="19">
        <f>8*I167</f>
        <v>8</v>
      </c>
      <c r="I176" s="53">
        <f>ROUND(0.19*0.07*0.01*7850,2)</f>
        <v>1.04</v>
      </c>
      <c r="J176" s="98"/>
    </row>
    <row r="177" spans="2:10" ht="15.75" x14ac:dyDescent="0.25">
      <c r="B177" s="80">
        <v>126</v>
      </c>
      <c r="C177" s="146"/>
      <c r="D177" s="118"/>
      <c r="E177" s="148"/>
      <c r="F177" s="127" t="s">
        <v>89</v>
      </c>
      <c r="G177" s="128"/>
      <c r="H177" s="30">
        <f>0.34*I167</f>
        <v>0.34</v>
      </c>
      <c r="I177" s="61">
        <f>ROUND(3.77*1,2)</f>
        <v>3.77</v>
      </c>
      <c r="J177" s="98">
        <f>0.34*3.77</f>
        <v>1.2818000000000001</v>
      </c>
    </row>
    <row r="178" spans="2:10" ht="15.75" x14ac:dyDescent="0.25">
      <c r="B178" s="80">
        <v>127</v>
      </c>
      <c r="C178" s="33" t="s">
        <v>48</v>
      </c>
      <c r="D178" s="86" t="s">
        <v>44</v>
      </c>
      <c r="E178" s="89">
        <f>ROUND((I178*H178)/1000,3)</f>
        <v>2.7E-2</v>
      </c>
      <c r="F178" s="139" t="s">
        <v>56</v>
      </c>
      <c r="G178" s="140"/>
      <c r="H178" s="69">
        <f>8.49*I167</f>
        <v>8.49</v>
      </c>
      <c r="I178" s="96">
        <v>3.17</v>
      </c>
      <c r="J178" s="98"/>
    </row>
    <row r="179" spans="2:10" ht="15.75" x14ac:dyDescent="0.25">
      <c r="B179" s="80">
        <v>128</v>
      </c>
      <c r="C179" s="88" t="s">
        <v>59</v>
      </c>
      <c r="D179" s="86" t="s">
        <v>10</v>
      </c>
      <c r="E179" s="86">
        <f>9*I167</f>
        <v>9</v>
      </c>
      <c r="F179" s="133" t="s">
        <v>22</v>
      </c>
      <c r="G179" s="134"/>
      <c r="H179" s="134"/>
      <c r="I179" s="135"/>
      <c r="J179" s="98"/>
    </row>
    <row r="180" spans="2:10" ht="15.75" x14ac:dyDescent="0.25">
      <c r="B180" s="80">
        <v>129</v>
      </c>
      <c r="C180" s="88" t="s">
        <v>57</v>
      </c>
      <c r="D180" s="86" t="s">
        <v>10</v>
      </c>
      <c r="E180" s="86">
        <f>9*I167</f>
        <v>9</v>
      </c>
      <c r="F180" s="143" t="s">
        <v>58</v>
      </c>
      <c r="G180" s="143"/>
      <c r="H180" s="143"/>
      <c r="I180" s="144"/>
      <c r="J180" s="104"/>
    </row>
    <row r="181" spans="2:10" ht="15.75" x14ac:dyDescent="0.25">
      <c r="B181" s="80">
        <v>130</v>
      </c>
      <c r="C181" s="33" t="s">
        <v>60</v>
      </c>
      <c r="D181" s="86" t="s">
        <v>44</v>
      </c>
      <c r="E181" s="86">
        <f>ROUND((H181*I181)/1000,3)</f>
        <v>0.13700000000000001</v>
      </c>
      <c r="F181" s="121" t="s">
        <v>61</v>
      </c>
      <c r="G181" s="122"/>
      <c r="H181" s="22">
        <f>86.55*I167</f>
        <v>86.55</v>
      </c>
      <c r="I181" s="55">
        <f>ROUND(1.578,2)</f>
        <v>1.58</v>
      </c>
      <c r="J181" s="98"/>
    </row>
    <row r="182" spans="2:10" ht="15.75" x14ac:dyDescent="0.25">
      <c r="B182" s="80">
        <v>131</v>
      </c>
      <c r="C182" s="33" t="s">
        <v>62</v>
      </c>
      <c r="D182" s="86" t="s">
        <v>27</v>
      </c>
      <c r="E182" s="4">
        <f>1.49*I167</f>
        <v>1.49</v>
      </c>
      <c r="F182" s="121" t="s">
        <v>21</v>
      </c>
      <c r="G182" s="122"/>
      <c r="H182" s="122"/>
      <c r="I182" s="123"/>
      <c r="J182" s="104"/>
    </row>
    <row r="183" spans="2:10" ht="15.75" x14ac:dyDescent="0.25">
      <c r="B183" s="80">
        <v>132</v>
      </c>
      <c r="C183" s="88" t="s">
        <v>81</v>
      </c>
      <c r="D183" s="86" t="s">
        <v>11</v>
      </c>
      <c r="E183" s="4">
        <f>E182/0.16</f>
        <v>9.3125</v>
      </c>
      <c r="F183" s="121" t="s">
        <v>22</v>
      </c>
      <c r="G183" s="122"/>
      <c r="H183" s="122"/>
      <c r="I183" s="123"/>
      <c r="J183" s="104"/>
    </row>
    <row r="184" spans="2:10" ht="15.75" x14ac:dyDescent="0.25">
      <c r="B184" s="80">
        <v>133</v>
      </c>
      <c r="C184" s="88" t="s">
        <v>90</v>
      </c>
      <c r="D184" s="86" t="s">
        <v>27</v>
      </c>
      <c r="E184" s="92">
        <f>(((0.09*0.01*(0.064+0.01+0.064))*4)+(0.09*0.01*0.064))*I131</f>
        <v>5.5440000000000003E-4</v>
      </c>
      <c r="F184" s="121" t="s">
        <v>137</v>
      </c>
      <c r="G184" s="122"/>
      <c r="H184" s="122"/>
      <c r="I184" s="123"/>
      <c r="J184" s="104"/>
    </row>
    <row r="185" spans="2:10" ht="15.75" x14ac:dyDescent="0.25">
      <c r="B185" s="80">
        <v>134</v>
      </c>
      <c r="C185" s="33" t="s">
        <v>46</v>
      </c>
      <c r="D185" s="86" t="s">
        <v>11</v>
      </c>
      <c r="E185" s="4">
        <f>(E168+E175+E176)*24</f>
        <v>6.9120000000000008</v>
      </c>
      <c r="F185" s="133" t="s">
        <v>82</v>
      </c>
      <c r="G185" s="134"/>
      <c r="H185" s="134"/>
      <c r="I185" s="135"/>
      <c r="J185" s="98"/>
    </row>
    <row r="186" spans="2:10" ht="32.25" thickBot="1" x14ac:dyDescent="0.3">
      <c r="B186" s="80">
        <v>135</v>
      </c>
      <c r="C186" s="88" t="s">
        <v>47</v>
      </c>
      <c r="D186" s="86" t="s">
        <v>11</v>
      </c>
      <c r="E186" s="4">
        <f>E185</f>
        <v>6.9120000000000008</v>
      </c>
      <c r="F186" s="136" t="s">
        <v>83</v>
      </c>
      <c r="G186" s="137"/>
      <c r="H186" s="137"/>
      <c r="I186" s="138"/>
      <c r="J186" s="98"/>
    </row>
    <row r="187" spans="2:10" ht="32.25" customHeight="1" thickTop="1" thickBot="1" x14ac:dyDescent="0.3">
      <c r="B187" s="157" t="s">
        <v>115</v>
      </c>
      <c r="C187" s="158"/>
      <c r="D187" s="158"/>
      <c r="E187" s="158"/>
      <c r="F187" s="158"/>
      <c r="G187" s="158"/>
      <c r="H187" s="158"/>
      <c r="I187" s="38">
        <v>1</v>
      </c>
      <c r="J187" s="103"/>
    </row>
    <row r="188" spans="2:10" ht="16.5" thickTop="1" x14ac:dyDescent="0.25">
      <c r="B188" s="46">
        <v>136</v>
      </c>
      <c r="C188" s="47" t="s">
        <v>42</v>
      </c>
      <c r="D188" s="48" t="s">
        <v>44</v>
      </c>
      <c r="E188" s="49">
        <f>ROUND(I188*H188/1000,3)</f>
        <v>0.41599999999999998</v>
      </c>
      <c r="F188" s="159" t="s">
        <v>51</v>
      </c>
      <c r="G188" s="160"/>
      <c r="H188" s="50">
        <f>29.28*I187</f>
        <v>29.28</v>
      </c>
      <c r="I188" s="51">
        <v>14.2</v>
      </c>
      <c r="J188" s="98"/>
    </row>
    <row r="189" spans="2:10" ht="15.75" x14ac:dyDescent="0.25">
      <c r="B189" s="113">
        <v>137</v>
      </c>
      <c r="C189" s="115" t="s">
        <v>49</v>
      </c>
      <c r="D189" s="117" t="s">
        <v>44</v>
      </c>
      <c r="E189" s="119">
        <f>ROUND((I189*H189)/1000,3)</f>
        <v>0.1</v>
      </c>
      <c r="F189" s="151" t="s">
        <v>45</v>
      </c>
      <c r="G189" s="152"/>
      <c r="H189" s="26">
        <f>166*I187</f>
        <v>166</v>
      </c>
      <c r="I189" s="52">
        <f>ROUND(0.68*0.888,2)</f>
        <v>0.6</v>
      </c>
      <c r="J189" s="98"/>
    </row>
    <row r="190" spans="2:10" ht="15.75" x14ac:dyDescent="0.25">
      <c r="B190" s="114"/>
      <c r="C190" s="116"/>
      <c r="D190" s="118"/>
      <c r="E190" s="120"/>
      <c r="F190" s="127" t="s">
        <v>50</v>
      </c>
      <c r="G190" s="128"/>
      <c r="H190" s="128"/>
      <c r="I190" s="129"/>
      <c r="J190" s="98"/>
    </row>
    <row r="191" spans="2:10" ht="15.75" x14ac:dyDescent="0.25">
      <c r="B191" s="149">
        <v>138</v>
      </c>
      <c r="C191" s="161" t="s">
        <v>68</v>
      </c>
      <c r="D191" s="162" t="s">
        <v>44</v>
      </c>
      <c r="E191" s="186">
        <f>ROUND((I191*H191)/1000,3)</f>
        <v>1E-3</v>
      </c>
      <c r="F191" s="111" t="s">
        <v>52</v>
      </c>
      <c r="G191" s="112"/>
      <c r="H191" s="19">
        <f>2*I187</f>
        <v>2</v>
      </c>
      <c r="I191" s="53">
        <f>ROUND(0.55*0.617,2)</f>
        <v>0.34</v>
      </c>
      <c r="J191" s="98"/>
    </row>
    <row r="192" spans="2:10" ht="15.75" x14ac:dyDescent="0.25">
      <c r="B192" s="149"/>
      <c r="C192" s="161"/>
      <c r="D192" s="162"/>
      <c r="E192" s="186"/>
      <c r="F192" s="127" t="s">
        <v>53</v>
      </c>
      <c r="G192" s="128"/>
      <c r="H192" s="128"/>
      <c r="I192" s="129"/>
      <c r="J192" s="98"/>
    </row>
    <row r="193" spans="2:10" ht="15.75" x14ac:dyDescent="0.25">
      <c r="B193" s="149">
        <v>139</v>
      </c>
      <c r="C193" s="115" t="s">
        <v>141</v>
      </c>
      <c r="D193" s="131" t="s">
        <v>44</v>
      </c>
      <c r="E193" s="155">
        <f>ROUND((I193*H193)/1000,4)</f>
        <v>2.0000000000000001E-4</v>
      </c>
      <c r="F193" s="111" t="s">
        <v>94</v>
      </c>
      <c r="G193" s="112"/>
      <c r="H193" s="19">
        <f>2*I187</f>
        <v>2</v>
      </c>
      <c r="I193" s="53">
        <f>ROUND(0.2*0.617,2)</f>
        <v>0.12</v>
      </c>
      <c r="J193" s="98"/>
    </row>
    <row r="194" spans="2:10" ht="15.75" x14ac:dyDescent="0.25">
      <c r="B194" s="149"/>
      <c r="C194" s="116"/>
      <c r="D194" s="118"/>
      <c r="E194" s="166"/>
      <c r="F194" s="127" t="s">
        <v>109</v>
      </c>
      <c r="G194" s="128"/>
      <c r="H194" s="128"/>
      <c r="I194" s="129"/>
      <c r="J194" s="98"/>
    </row>
    <row r="195" spans="2:10" ht="15.75" x14ac:dyDescent="0.25">
      <c r="B195" s="80">
        <v>140</v>
      </c>
      <c r="C195" s="33" t="s">
        <v>54</v>
      </c>
      <c r="D195" s="86" t="s">
        <v>44</v>
      </c>
      <c r="E195" s="86">
        <f>ROUND((I195*H195)/1000,3)</f>
        <v>5.0000000000000001E-3</v>
      </c>
      <c r="F195" s="187" t="s">
        <v>5</v>
      </c>
      <c r="G195" s="188"/>
      <c r="H195" s="24">
        <f>11*I187</f>
        <v>11</v>
      </c>
      <c r="I195" s="54">
        <f>ROUND(0.16*0.06*0.006*7850,2)</f>
        <v>0.45</v>
      </c>
      <c r="J195" s="98"/>
    </row>
    <row r="196" spans="2:10" ht="15.75" x14ac:dyDescent="0.25">
      <c r="B196" s="80">
        <v>141</v>
      </c>
      <c r="C196" s="33" t="s">
        <v>55</v>
      </c>
      <c r="D196" s="86" t="s">
        <v>44</v>
      </c>
      <c r="E196" s="89">
        <f>ROUND((I196*H196)/1000,3)</f>
        <v>0.01</v>
      </c>
      <c r="F196" s="121" t="s">
        <v>4</v>
      </c>
      <c r="G196" s="122"/>
      <c r="H196" s="26">
        <f>10*I187</f>
        <v>10</v>
      </c>
      <c r="I196" s="53">
        <f>ROUND(0.19*0.07*0.01*7850,2)</f>
        <v>1.04</v>
      </c>
      <c r="J196" s="98"/>
    </row>
    <row r="197" spans="2:10" ht="15.75" x14ac:dyDescent="0.25">
      <c r="B197" s="80">
        <v>142</v>
      </c>
      <c r="C197" s="33" t="s">
        <v>80</v>
      </c>
      <c r="D197" s="86" t="s">
        <v>44</v>
      </c>
      <c r="E197" s="86">
        <f>ROUND((I197*H197)/1000,3)</f>
        <v>8.9999999999999993E-3</v>
      </c>
      <c r="F197" s="121" t="s">
        <v>72</v>
      </c>
      <c r="G197" s="122"/>
      <c r="H197" s="28">
        <f>ROUND((0.6+0.064+0.064)*(0.335-0.064-0.01),2)*I187</f>
        <v>0.19</v>
      </c>
      <c r="I197" s="67">
        <v>47.1</v>
      </c>
      <c r="J197" s="98">
        <f>0.19*47.1</f>
        <v>8.9489999999999998</v>
      </c>
    </row>
    <row r="198" spans="2:10" ht="15.75" x14ac:dyDescent="0.25">
      <c r="B198" s="80">
        <v>143</v>
      </c>
      <c r="C198" s="33" t="s">
        <v>48</v>
      </c>
      <c r="D198" s="86" t="s">
        <v>44</v>
      </c>
      <c r="E198" s="89">
        <f>ROUND((I198*H198)/1000,3)</f>
        <v>4.1000000000000002E-2</v>
      </c>
      <c r="F198" s="121" t="s">
        <v>56</v>
      </c>
      <c r="G198" s="122"/>
      <c r="H198" s="28">
        <f>13.06*I187</f>
        <v>13.06</v>
      </c>
      <c r="I198" s="67">
        <v>3.17</v>
      </c>
      <c r="J198" s="98"/>
    </row>
    <row r="199" spans="2:10" ht="15.75" x14ac:dyDescent="0.25">
      <c r="B199" s="80">
        <v>144</v>
      </c>
      <c r="C199" s="88" t="s">
        <v>59</v>
      </c>
      <c r="D199" s="86" t="s">
        <v>10</v>
      </c>
      <c r="E199" s="86">
        <f>11*I187</f>
        <v>11</v>
      </c>
      <c r="F199" s="133" t="s">
        <v>22</v>
      </c>
      <c r="G199" s="134"/>
      <c r="H199" s="134"/>
      <c r="I199" s="135"/>
      <c r="J199" s="98"/>
    </row>
    <row r="200" spans="2:10" ht="15.75" x14ac:dyDescent="0.25">
      <c r="B200" s="80">
        <v>145</v>
      </c>
      <c r="C200" s="88" t="s">
        <v>57</v>
      </c>
      <c r="D200" s="86" t="s">
        <v>10</v>
      </c>
      <c r="E200" s="86">
        <f>11*I187</f>
        <v>11</v>
      </c>
      <c r="F200" s="143" t="s">
        <v>58</v>
      </c>
      <c r="G200" s="143"/>
      <c r="H200" s="143"/>
      <c r="I200" s="144"/>
      <c r="J200" s="104"/>
    </row>
    <row r="201" spans="2:10" ht="15.75" x14ac:dyDescent="0.25">
      <c r="B201" s="80">
        <v>146</v>
      </c>
      <c r="C201" s="33" t="s">
        <v>60</v>
      </c>
      <c r="D201" s="86" t="s">
        <v>44</v>
      </c>
      <c r="E201" s="89">
        <f>ROUND((H201*I201)/1000,3)</f>
        <v>0.22</v>
      </c>
      <c r="F201" s="121" t="s">
        <v>61</v>
      </c>
      <c r="G201" s="122"/>
      <c r="H201" s="22">
        <f>139.01*I187</f>
        <v>139.01</v>
      </c>
      <c r="I201" s="55">
        <f>ROUND(1.578,2)</f>
        <v>1.58</v>
      </c>
      <c r="J201" s="98"/>
    </row>
    <row r="202" spans="2:10" ht="15.75" x14ac:dyDescent="0.25">
      <c r="B202" s="80">
        <v>147</v>
      </c>
      <c r="C202" s="33" t="s">
        <v>62</v>
      </c>
      <c r="D202" s="86" t="s">
        <v>27</v>
      </c>
      <c r="E202" s="86">
        <f>2.12*I187</f>
        <v>2.12</v>
      </c>
      <c r="F202" s="121" t="s">
        <v>21</v>
      </c>
      <c r="G202" s="122"/>
      <c r="H202" s="122"/>
      <c r="I202" s="123"/>
      <c r="J202" s="104"/>
    </row>
    <row r="203" spans="2:10" ht="15.75" x14ac:dyDescent="0.25">
      <c r="B203" s="80">
        <v>148</v>
      </c>
      <c r="C203" s="88" t="s">
        <v>81</v>
      </c>
      <c r="D203" s="86" t="s">
        <v>11</v>
      </c>
      <c r="E203" s="4">
        <f>E202/0.16</f>
        <v>13.25</v>
      </c>
      <c r="F203" s="121" t="s">
        <v>22</v>
      </c>
      <c r="G203" s="122"/>
      <c r="H203" s="122"/>
      <c r="I203" s="123"/>
      <c r="J203" s="104"/>
    </row>
    <row r="204" spans="2:10" ht="15.75" x14ac:dyDescent="0.25">
      <c r="B204" s="80">
        <v>149</v>
      </c>
      <c r="C204" s="88" t="s">
        <v>90</v>
      </c>
      <c r="D204" s="86" t="s">
        <v>27</v>
      </c>
      <c r="E204" s="92">
        <f>(((0.09*0.01*(0.064+0.01+0.064))*4)+((0.09*0.01*0.064)*3))*I148</f>
        <v>6.6960000000000001E-4</v>
      </c>
      <c r="F204" s="121" t="s">
        <v>137</v>
      </c>
      <c r="G204" s="122"/>
      <c r="H204" s="122"/>
      <c r="I204" s="123"/>
      <c r="J204" s="104"/>
    </row>
    <row r="205" spans="2:10" ht="15.75" x14ac:dyDescent="0.25">
      <c r="B205" s="80">
        <v>150</v>
      </c>
      <c r="C205" s="33" t="s">
        <v>46</v>
      </c>
      <c r="D205" s="86" t="s">
        <v>11</v>
      </c>
      <c r="E205" s="4">
        <f>(E188+E195+E196+E197)*24</f>
        <v>10.56</v>
      </c>
      <c r="F205" s="133" t="s">
        <v>82</v>
      </c>
      <c r="G205" s="134"/>
      <c r="H205" s="134"/>
      <c r="I205" s="135"/>
      <c r="J205" s="98"/>
    </row>
    <row r="206" spans="2:10" ht="32.25" thickBot="1" x14ac:dyDescent="0.3">
      <c r="B206" s="56">
        <v>151</v>
      </c>
      <c r="C206" s="57" t="s">
        <v>47</v>
      </c>
      <c r="D206" s="58" t="s">
        <v>11</v>
      </c>
      <c r="E206" s="59">
        <f>E205</f>
        <v>10.56</v>
      </c>
      <c r="F206" s="136" t="s">
        <v>83</v>
      </c>
      <c r="G206" s="137"/>
      <c r="H206" s="137"/>
      <c r="I206" s="138"/>
      <c r="J206" s="98"/>
    </row>
    <row r="207" spans="2:10" ht="31.5" customHeight="1" thickTop="1" thickBot="1" x14ac:dyDescent="0.3">
      <c r="B207" s="109" t="s">
        <v>69</v>
      </c>
      <c r="C207" s="110"/>
      <c r="D207" s="110"/>
      <c r="E207" s="110"/>
      <c r="F207" s="110"/>
      <c r="G207" s="110"/>
      <c r="H207" s="110"/>
      <c r="I207" s="21">
        <v>1</v>
      </c>
      <c r="J207" s="103"/>
    </row>
    <row r="208" spans="2:10" ht="16.5" thickTop="1" x14ac:dyDescent="0.25">
      <c r="B208" s="82">
        <v>152</v>
      </c>
      <c r="C208" s="79" t="s">
        <v>42</v>
      </c>
      <c r="D208" s="77" t="s">
        <v>44</v>
      </c>
      <c r="E208" s="85">
        <f>ROUND(H208*I208/1000,3)</f>
        <v>0.18</v>
      </c>
      <c r="F208" s="127" t="s">
        <v>51</v>
      </c>
      <c r="G208" s="128"/>
      <c r="H208" s="30">
        <f>12.67*I207</f>
        <v>12.67</v>
      </c>
      <c r="I208" s="61">
        <v>14.2</v>
      </c>
      <c r="J208" s="98"/>
    </row>
    <row r="209" spans="2:10" ht="15.75" x14ac:dyDescent="0.25">
      <c r="B209" s="113">
        <v>153</v>
      </c>
      <c r="C209" s="115" t="s">
        <v>49</v>
      </c>
      <c r="D209" s="117" t="s">
        <v>44</v>
      </c>
      <c r="E209" s="119">
        <f>ROUND((I209*H209)/1000,3)</f>
        <v>3.7999999999999999E-2</v>
      </c>
      <c r="F209" s="151" t="s">
        <v>45</v>
      </c>
      <c r="G209" s="152"/>
      <c r="H209" s="26">
        <f>64*I207</f>
        <v>64</v>
      </c>
      <c r="I209" s="52">
        <f>ROUND(0.68*0.888,2)</f>
        <v>0.6</v>
      </c>
      <c r="J209" s="98"/>
    </row>
    <row r="210" spans="2:10" ht="15.75" x14ac:dyDescent="0.25">
      <c r="B210" s="114"/>
      <c r="C210" s="116"/>
      <c r="D210" s="118"/>
      <c r="E210" s="120"/>
      <c r="F210" s="127" t="s">
        <v>50</v>
      </c>
      <c r="G210" s="128"/>
      <c r="H210" s="128"/>
      <c r="I210" s="129"/>
      <c r="J210" s="98"/>
    </row>
    <row r="211" spans="2:10" ht="15.75" x14ac:dyDescent="0.25">
      <c r="B211" s="80">
        <v>154</v>
      </c>
      <c r="C211" s="33" t="s">
        <v>54</v>
      </c>
      <c r="D211" s="86" t="s">
        <v>44</v>
      </c>
      <c r="E211" s="86">
        <f>ROUND(H211*I211/1000,3)</f>
        <v>3.0000000000000001E-3</v>
      </c>
      <c r="F211" s="121" t="s">
        <v>5</v>
      </c>
      <c r="G211" s="122"/>
      <c r="H211" s="24">
        <f>7*I207</f>
        <v>7</v>
      </c>
      <c r="I211" s="54">
        <f>ROUND(0.16*0.06*0.006*7850,2)</f>
        <v>0.45</v>
      </c>
      <c r="J211" s="98"/>
    </row>
    <row r="212" spans="2:10" ht="15.75" x14ac:dyDescent="0.25">
      <c r="B212" s="80">
        <v>155</v>
      </c>
      <c r="C212" s="33" t="s">
        <v>117</v>
      </c>
      <c r="D212" s="86" t="s">
        <v>44</v>
      </c>
      <c r="E212" s="86">
        <f>ROUND(H212*I212/1000,3)</f>
        <v>3.0000000000000001E-3</v>
      </c>
      <c r="F212" s="121" t="s">
        <v>71</v>
      </c>
      <c r="G212" s="122"/>
      <c r="H212" s="24">
        <f>4*I207</f>
        <v>4</v>
      </c>
      <c r="I212" s="54">
        <f>ROUND(6.89*0.1,2)</f>
        <v>0.69</v>
      </c>
      <c r="J212" s="98"/>
    </row>
    <row r="213" spans="2:10" ht="15.75" x14ac:dyDescent="0.25">
      <c r="B213" s="80">
        <v>156</v>
      </c>
      <c r="C213" s="33" t="s">
        <v>116</v>
      </c>
      <c r="D213" s="86" t="s">
        <v>44</v>
      </c>
      <c r="E213" s="45">
        <f>ROUND(H213*I213/1000,3)</f>
        <v>3.0000000000000001E-3</v>
      </c>
      <c r="F213" s="133" t="s">
        <v>89</v>
      </c>
      <c r="G213" s="134"/>
      <c r="H213" s="22">
        <f>0.76*I207</f>
        <v>0.76</v>
      </c>
      <c r="I213" s="55">
        <f>ROUND(3.77*1,2)</f>
        <v>3.77</v>
      </c>
      <c r="J213" s="98">
        <f>0.76*3.77</f>
        <v>2.8652000000000002</v>
      </c>
    </row>
    <row r="214" spans="2:10" ht="15.75" x14ac:dyDescent="0.25">
      <c r="B214" s="80">
        <v>157</v>
      </c>
      <c r="C214" s="33" t="s">
        <v>80</v>
      </c>
      <c r="D214" s="86" t="s">
        <v>44</v>
      </c>
      <c r="E214" s="86">
        <f>ROUND(H214*I214/1000,3)</f>
        <v>1.2E-2</v>
      </c>
      <c r="F214" s="121" t="s">
        <v>72</v>
      </c>
      <c r="G214" s="122"/>
      <c r="H214" s="28">
        <f>0.26*I207</f>
        <v>0.26</v>
      </c>
      <c r="I214" s="67">
        <v>47.1</v>
      </c>
      <c r="J214" s="98">
        <f>0.26*47.1</f>
        <v>12.246</v>
      </c>
    </row>
    <row r="215" spans="2:10" ht="15.75" x14ac:dyDescent="0.25">
      <c r="B215" s="80">
        <v>158</v>
      </c>
      <c r="C215" s="33" t="s">
        <v>48</v>
      </c>
      <c r="D215" s="86" t="s">
        <v>44</v>
      </c>
      <c r="E215" s="89">
        <f>ROUND((I215*H215)/1000,3)</f>
        <v>8.0000000000000002E-3</v>
      </c>
      <c r="F215" s="121" t="s">
        <v>56</v>
      </c>
      <c r="G215" s="122"/>
      <c r="H215" s="28">
        <f>2.45*I207</f>
        <v>2.4500000000000002</v>
      </c>
      <c r="I215" s="67">
        <v>3.17</v>
      </c>
      <c r="J215" s="98"/>
    </row>
    <row r="216" spans="2:10" ht="15.75" x14ac:dyDescent="0.25">
      <c r="B216" s="80">
        <v>159</v>
      </c>
      <c r="C216" s="88" t="s">
        <v>59</v>
      </c>
      <c r="D216" s="86" t="s">
        <v>10</v>
      </c>
      <c r="E216" s="86">
        <f>7*I207</f>
        <v>7</v>
      </c>
      <c r="F216" s="133" t="s">
        <v>22</v>
      </c>
      <c r="G216" s="134"/>
      <c r="H216" s="134"/>
      <c r="I216" s="135"/>
      <c r="J216" s="98"/>
    </row>
    <row r="217" spans="2:10" ht="15.75" x14ac:dyDescent="0.25">
      <c r="B217" s="80">
        <v>160</v>
      </c>
      <c r="C217" s="88" t="s">
        <v>57</v>
      </c>
      <c r="D217" s="86" t="s">
        <v>10</v>
      </c>
      <c r="E217" s="86">
        <f>7*I207</f>
        <v>7</v>
      </c>
      <c r="F217" s="143" t="s">
        <v>58</v>
      </c>
      <c r="G217" s="143"/>
      <c r="H217" s="143"/>
      <c r="I217" s="144"/>
      <c r="J217" s="104"/>
    </row>
    <row r="218" spans="2:10" ht="15.75" x14ac:dyDescent="0.25">
      <c r="B218" s="80">
        <v>161</v>
      </c>
      <c r="C218" s="33" t="s">
        <v>60</v>
      </c>
      <c r="D218" s="86" t="s">
        <v>44</v>
      </c>
      <c r="E218" s="86">
        <f>ROUND((H218*I218)/1000,3)</f>
        <v>4.2999999999999997E-2</v>
      </c>
      <c r="F218" s="121" t="s">
        <v>61</v>
      </c>
      <c r="G218" s="122"/>
      <c r="H218" s="22">
        <f>27.5*I207</f>
        <v>27.5</v>
      </c>
      <c r="I218" s="55">
        <f>ROUND(1.578,2)</f>
        <v>1.58</v>
      </c>
      <c r="J218" s="98"/>
    </row>
    <row r="219" spans="2:10" ht="15.75" x14ac:dyDescent="0.25">
      <c r="B219" s="80">
        <v>162</v>
      </c>
      <c r="C219" s="33" t="s">
        <v>62</v>
      </c>
      <c r="D219" s="86" t="s">
        <v>27</v>
      </c>
      <c r="E219" s="86">
        <f>0.48*I207</f>
        <v>0.48</v>
      </c>
      <c r="F219" s="121" t="s">
        <v>21</v>
      </c>
      <c r="G219" s="122"/>
      <c r="H219" s="122"/>
      <c r="I219" s="123"/>
      <c r="J219" s="104"/>
    </row>
    <row r="220" spans="2:10" ht="15.75" x14ac:dyDescent="0.25">
      <c r="B220" s="80">
        <v>163</v>
      </c>
      <c r="C220" s="88" t="s">
        <v>81</v>
      </c>
      <c r="D220" s="86" t="s">
        <v>11</v>
      </c>
      <c r="E220" s="4">
        <f>E219/0.16</f>
        <v>3</v>
      </c>
      <c r="F220" s="121" t="s">
        <v>22</v>
      </c>
      <c r="G220" s="122"/>
      <c r="H220" s="122"/>
      <c r="I220" s="123"/>
      <c r="J220" s="104"/>
    </row>
    <row r="221" spans="2:10" ht="16.5" customHeight="1" x14ac:dyDescent="0.25">
      <c r="B221" s="80">
        <v>164</v>
      </c>
      <c r="C221" s="88" t="s">
        <v>90</v>
      </c>
      <c r="D221" s="86" t="s">
        <v>27</v>
      </c>
      <c r="E221" s="92">
        <f>((0.01*0.265*0.09)+((0.09*0.01*0.064)*5))*I207</f>
        <v>5.2650000000000006E-4</v>
      </c>
      <c r="F221" s="124" t="s">
        <v>140</v>
      </c>
      <c r="G221" s="125"/>
      <c r="H221" s="125"/>
      <c r="I221" s="126"/>
      <c r="J221" s="105"/>
    </row>
    <row r="222" spans="2:10" ht="15.75" x14ac:dyDescent="0.25">
      <c r="B222" s="80">
        <v>165</v>
      </c>
      <c r="C222" s="33" t="s">
        <v>46</v>
      </c>
      <c r="D222" s="86" t="s">
        <v>11</v>
      </c>
      <c r="E222" s="4">
        <f>(E208+E211+E212+E213+E214)*24</f>
        <v>4.8239999999999998</v>
      </c>
      <c r="F222" s="133" t="s">
        <v>82</v>
      </c>
      <c r="G222" s="134"/>
      <c r="H222" s="134"/>
      <c r="I222" s="135"/>
      <c r="J222" s="98"/>
    </row>
    <row r="223" spans="2:10" ht="32.25" thickBot="1" x14ac:dyDescent="0.3">
      <c r="B223" s="81">
        <v>166</v>
      </c>
      <c r="C223" s="76" t="s">
        <v>47</v>
      </c>
      <c r="D223" s="74" t="s">
        <v>11</v>
      </c>
      <c r="E223" s="41">
        <f>E222</f>
        <v>4.8239999999999998</v>
      </c>
      <c r="F223" s="111" t="s">
        <v>83</v>
      </c>
      <c r="G223" s="112"/>
      <c r="H223" s="112"/>
      <c r="I223" s="167"/>
      <c r="J223" s="98"/>
    </row>
    <row r="224" spans="2:10" ht="30" customHeight="1" thickTop="1" thickBot="1" x14ac:dyDescent="0.3">
      <c r="B224" s="109" t="s">
        <v>118</v>
      </c>
      <c r="C224" s="110"/>
      <c r="D224" s="110"/>
      <c r="E224" s="110"/>
      <c r="F224" s="110"/>
      <c r="G224" s="110"/>
      <c r="H224" s="110"/>
      <c r="I224" s="21">
        <v>1</v>
      </c>
      <c r="J224" s="103"/>
    </row>
    <row r="225" spans="2:10" ht="16.5" thickTop="1" x14ac:dyDescent="0.25">
      <c r="B225" s="82">
        <v>167</v>
      </c>
      <c r="C225" s="79" t="s">
        <v>42</v>
      </c>
      <c r="D225" s="77" t="s">
        <v>44</v>
      </c>
      <c r="E225" s="85">
        <f>ROUND(H225*I225/1000,3)</f>
        <v>0.315</v>
      </c>
      <c r="F225" s="127" t="s">
        <v>51</v>
      </c>
      <c r="G225" s="128"/>
      <c r="H225" s="30">
        <f>22.17*I224</f>
        <v>22.17</v>
      </c>
      <c r="I225" s="61">
        <v>14.2</v>
      </c>
      <c r="J225" s="98"/>
    </row>
    <row r="226" spans="2:10" ht="15.75" x14ac:dyDescent="0.25">
      <c r="B226" s="113">
        <v>168</v>
      </c>
      <c r="C226" s="115" t="s">
        <v>49</v>
      </c>
      <c r="D226" s="117" t="s">
        <v>44</v>
      </c>
      <c r="E226" s="119">
        <f>ROUND((I226*H226)/1000,3)</f>
        <v>5.2999999999999999E-2</v>
      </c>
      <c r="F226" s="151" t="s">
        <v>45</v>
      </c>
      <c r="G226" s="152"/>
      <c r="H226" s="26">
        <f>88*I224</f>
        <v>88</v>
      </c>
      <c r="I226" s="52">
        <f>ROUND(0.68*0.888,2)</f>
        <v>0.6</v>
      </c>
      <c r="J226" s="98"/>
    </row>
    <row r="227" spans="2:10" ht="15.75" x14ac:dyDescent="0.25">
      <c r="B227" s="114"/>
      <c r="C227" s="116"/>
      <c r="D227" s="118"/>
      <c r="E227" s="120"/>
      <c r="F227" s="127" t="s">
        <v>50</v>
      </c>
      <c r="G227" s="128"/>
      <c r="H227" s="128"/>
      <c r="I227" s="129"/>
      <c r="J227" s="98"/>
    </row>
    <row r="228" spans="2:10" ht="15.75" x14ac:dyDescent="0.25">
      <c r="B228" s="149">
        <v>169</v>
      </c>
      <c r="C228" s="115" t="s">
        <v>141</v>
      </c>
      <c r="D228" s="131" t="s">
        <v>44</v>
      </c>
      <c r="E228" s="155">
        <f>ROUND((I228*H228)/1000,4)</f>
        <v>1E-3</v>
      </c>
      <c r="F228" s="111" t="s">
        <v>94</v>
      </c>
      <c r="G228" s="112"/>
      <c r="H228" s="19">
        <f>8*I224</f>
        <v>8</v>
      </c>
      <c r="I228" s="53">
        <f>ROUND(0.2*0.617,2)</f>
        <v>0.12</v>
      </c>
      <c r="J228" s="98"/>
    </row>
    <row r="229" spans="2:10" ht="15.75" x14ac:dyDescent="0.25">
      <c r="B229" s="149"/>
      <c r="C229" s="116"/>
      <c r="D229" s="118"/>
      <c r="E229" s="166"/>
      <c r="F229" s="127" t="s">
        <v>109</v>
      </c>
      <c r="G229" s="128"/>
      <c r="H229" s="128"/>
      <c r="I229" s="129"/>
      <c r="J229" s="98"/>
    </row>
    <row r="230" spans="2:10" ht="15.75" x14ac:dyDescent="0.25">
      <c r="B230" s="113">
        <v>170</v>
      </c>
      <c r="C230" s="115" t="s">
        <v>138</v>
      </c>
      <c r="D230" s="117" t="s">
        <v>44</v>
      </c>
      <c r="E230" s="155">
        <f>ROUND((H230*I230)/1000,4)</f>
        <v>4.0000000000000002E-4</v>
      </c>
      <c r="F230" s="111" t="s">
        <v>73</v>
      </c>
      <c r="G230" s="112"/>
      <c r="H230" s="19">
        <f>4*I224</f>
        <v>4</v>
      </c>
      <c r="I230" s="53">
        <f>ROUND(0.155*0.617,2)</f>
        <v>0.1</v>
      </c>
      <c r="J230" s="98"/>
    </row>
    <row r="231" spans="2:10" ht="15.75" x14ac:dyDescent="0.25">
      <c r="B231" s="130"/>
      <c r="C231" s="163"/>
      <c r="D231" s="131"/>
      <c r="E231" s="156"/>
      <c r="F231" s="127" t="s">
        <v>53</v>
      </c>
      <c r="G231" s="128"/>
      <c r="H231" s="128"/>
      <c r="I231" s="129"/>
      <c r="J231" s="98"/>
    </row>
    <row r="232" spans="2:10" ht="15.75" x14ac:dyDescent="0.25">
      <c r="B232" s="80">
        <v>171</v>
      </c>
      <c r="C232" s="33" t="s">
        <v>54</v>
      </c>
      <c r="D232" s="86" t="s">
        <v>44</v>
      </c>
      <c r="E232" s="86">
        <f>ROUND(H232*I232/1000,3)</f>
        <v>2E-3</v>
      </c>
      <c r="F232" s="141" t="s">
        <v>5</v>
      </c>
      <c r="G232" s="142"/>
      <c r="H232" s="19">
        <f>5*I224</f>
        <v>5</v>
      </c>
      <c r="I232" s="53">
        <f>ROUND(0.16*0.06*0.006*7850,2)</f>
        <v>0.45</v>
      </c>
      <c r="J232" s="98"/>
    </row>
    <row r="233" spans="2:10" ht="15.75" x14ac:dyDescent="0.25">
      <c r="B233" s="80">
        <v>172</v>
      </c>
      <c r="C233" s="145" t="s">
        <v>80</v>
      </c>
      <c r="D233" s="117" t="s">
        <v>44</v>
      </c>
      <c r="E233" s="147">
        <f>ROUND(H233*I233/1000,3)+ROUND(H234*I234/1000,3)</f>
        <v>1.0999999999999999E-2</v>
      </c>
      <c r="F233" s="141" t="s">
        <v>72</v>
      </c>
      <c r="G233" s="142"/>
      <c r="H233" s="43">
        <f>0.12*I224</f>
        <v>0.12</v>
      </c>
      <c r="I233" s="65">
        <v>47.1</v>
      </c>
      <c r="J233" s="98">
        <f>0.12*47.1</f>
        <v>5.6520000000000001</v>
      </c>
    </row>
    <row r="234" spans="2:10" ht="15.75" x14ac:dyDescent="0.25">
      <c r="B234" s="80">
        <v>173</v>
      </c>
      <c r="C234" s="146"/>
      <c r="D234" s="118"/>
      <c r="E234" s="148"/>
      <c r="F234" s="127" t="s">
        <v>89</v>
      </c>
      <c r="G234" s="128"/>
      <c r="H234" s="30">
        <f>1.44*I224</f>
        <v>1.44</v>
      </c>
      <c r="I234" s="61">
        <f>ROUND(3.77*1,2)</f>
        <v>3.77</v>
      </c>
      <c r="J234" s="98">
        <f>1.44*3.77</f>
        <v>5.4287999999999998</v>
      </c>
    </row>
    <row r="235" spans="2:10" ht="15.75" x14ac:dyDescent="0.25">
      <c r="B235" s="80">
        <v>174</v>
      </c>
      <c r="C235" s="33" t="s">
        <v>48</v>
      </c>
      <c r="D235" s="86" t="s">
        <v>44</v>
      </c>
      <c r="E235" s="89">
        <f>ROUND((I235*H235)/1000,3)</f>
        <v>1.2999999999999999E-2</v>
      </c>
      <c r="F235" s="139" t="s">
        <v>56</v>
      </c>
      <c r="G235" s="140"/>
      <c r="H235" s="69">
        <f>4.2*I224</f>
        <v>4.2</v>
      </c>
      <c r="I235" s="96">
        <v>3.17</v>
      </c>
      <c r="J235" s="98"/>
    </row>
    <row r="236" spans="2:10" ht="15.75" x14ac:dyDescent="0.25">
      <c r="B236" s="80">
        <v>175</v>
      </c>
      <c r="C236" s="88" t="s">
        <v>59</v>
      </c>
      <c r="D236" s="86" t="s">
        <v>10</v>
      </c>
      <c r="E236" s="86">
        <f>5*I224</f>
        <v>5</v>
      </c>
      <c r="F236" s="133" t="s">
        <v>22</v>
      </c>
      <c r="G236" s="134"/>
      <c r="H236" s="134"/>
      <c r="I236" s="135"/>
      <c r="J236" s="98"/>
    </row>
    <row r="237" spans="2:10" ht="15.75" x14ac:dyDescent="0.25">
      <c r="B237" s="80">
        <v>176</v>
      </c>
      <c r="C237" s="88" t="s">
        <v>57</v>
      </c>
      <c r="D237" s="86" t="s">
        <v>10</v>
      </c>
      <c r="E237" s="86">
        <f>5*I224</f>
        <v>5</v>
      </c>
      <c r="F237" s="143" t="s">
        <v>58</v>
      </c>
      <c r="G237" s="143"/>
      <c r="H237" s="143"/>
      <c r="I237" s="144"/>
      <c r="J237" s="104"/>
    </row>
    <row r="238" spans="2:10" ht="15.75" x14ac:dyDescent="0.25">
      <c r="B238" s="80">
        <v>177</v>
      </c>
      <c r="C238" s="33" t="s">
        <v>60</v>
      </c>
      <c r="D238" s="86" t="s">
        <v>44</v>
      </c>
      <c r="E238" s="86">
        <f>ROUND((I238*H238)/1000,3)</f>
        <v>7.3999999999999996E-2</v>
      </c>
      <c r="F238" s="121" t="s">
        <v>61</v>
      </c>
      <c r="G238" s="122"/>
      <c r="H238" s="22">
        <f>46.83*I224</f>
        <v>46.83</v>
      </c>
      <c r="I238" s="55">
        <f>ROUND(1.578,2)</f>
        <v>1.58</v>
      </c>
      <c r="J238" s="98"/>
    </row>
    <row r="239" spans="2:10" ht="15.75" x14ac:dyDescent="0.25">
      <c r="B239" s="80">
        <v>178</v>
      </c>
      <c r="C239" s="33" t="s">
        <v>62</v>
      </c>
      <c r="D239" s="86" t="s">
        <v>27</v>
      </c>
      <c r="E239" s="86">
        <f>0.76*I224</f>
        <v>0.76</v>
      </c>
      <c r="F239" s="121" t="s">
        <v>21</v>
      </c>
      <c r="G239" s="122"/>
      <c r="H239" s="122"/>
      <c r="I239" s="123"/>
      <c r="J239" s="104"/>
    </row>
    <row r="240" spans="2:10" ht="15.75" x14ac:dyDescent="0.25">
      <c r="B240" s="80">
        <v>179</v>
      </c>
      <c r="C240" s="88" t="s">
        <v>81</v>
      </c>
      <c r="D240" s="86" t="s">
        <v>11</v>
      </c>
      <c r="E240" s="4">
        <f>E239/0.16</f>
        <v>4.75</v>
      </c>
      <c r="F240" s="121" t="s">
        <v>22</v>
      </c>
      <c r="G240" s="122"/>
      <c r="H240" s="122"/>
      <c r="I240" s="123"/>
      <c r="J240" s="104"/>
    </row>
    <row r="241" spans="2:11" ht="18.75" customHeight="1" x14ac:dyDescent="0.25">
      <c r="B241" s="80">
        <v>180</v>
      </c>
      <c r="C241" s="88" t="s">
        <v>90</v>
      </c>
      <c r="D241" s="86" t="s">
        <v>27</v>
      </c>
      <c r="E241" s="92">
        <f>((0.01*0.32*0.09)+((0.09*0.01*(0.064+0.01+0.064))*3))*I224</f>
        <v>6.6060000000000012E-4</v>
      </c>
      <c r="F241" s="124" t="s">
        <v>140</v>
      </c>
      <c r="G241" s="125"/>
      <c r="H241" s="125"/>
      <c r="I241" s="126"/>
      <c r="J241" s="105"/>
    </row>
    <row r="242" spans="2:11" ht="15.75" x14ac:dyDescent="0.25">
      <c r="B242" s="80">
        <v>181</v>
      </c>
      <c r="C242" s="33" t="s">
        <v>46</v>
      </c>
      <c r="D242" s="86" t="s">
        <v>11</v>
      </c>
      <c r="E242" s="4">
        <f>(E225+E232+E233)*24</f>
        <v>7.8719999999999999</v>
      </c>
      <c r="F242" s="133" t="s">
        <v>82</v>
      </c>
      <c r="G242" s="134"/>
      <c r="H242" s="134"/>
      <c r="I242" s="135"/>
      <c r="J242" s="98"/>
    </row>
    <row r="243" spans="2:11" ht="32.25" thickBot="1" x14ac:dyDescent="0.3">
      <c r="B243" s="80">
        <v>182</v>
      </c>
      <c r="C243" s="88" t="s">
        <v>47</v>
      </c>
      <c r="D243" s="86" t="s">
        <v>11</v>
      </c>
      <c r="E243" s="4">
        <f>E242</f>
        <v>7.8719999999999999</v>
      </c>
      <c r="F243" s="136" t="s">
        <v>83</v>
      </c>
      <c r="G243" s="137"/>
      <c r="H243" s="137"/>
      <c r="I243" s="138"/>
      <c r="J243" s="98"/>
    </row>
    <row r="244" spans="2:11" ht="30.75" customHeight="1" thickTop="1" thickBot="1" x14ac:dyDescent="0.3">
      <c r="B244" s="109" t="s">
        <v>119</v>
      </c>
      <c r="C244" s="110"/>
      <c r="D244" s="110"/>
      <c r="E244" s="110"/>
      <c r="F244" s="110"/>
      <c r="G244" s="110"/>
      <c r="H244" s="110"/>
      <c r="I244" s="21">
        <v>1</v>
      </c>
      <c r="J244" s="103"/>
    </row>
    <row r="245" spans="2:11" ht="16.5" thickTop="1" x14ac:dyDescent="0.25">
      <c r="B245" s="82">
        <v>183</v>
      </c>
      <c r="C245" s="79" t="s">
        <v>42</v>
      </c>
      <c r="D245" s="77" t="s">
        <v>44</v>
      </c>
      <c r="E245" s="85">
        <f>ROUND(H245*I245/1000,3)</f>
        <v>0.38800000000000001</v>
      </c>
      <c r="F245" s="151" t="s">
        <v>74</v>
      </c>
      <c r="G245" s="152"/>
      <c r="H245" s="36">
        <f>23.8*I244</f>
        <v>23.8</v>
      </c>
      <c r="I245" s="68">
        <v>16.3</v>
      </c>
      <c r="J245" s="98"/>
    </row>
    <row r="246" spans="2:11" ht="15.75" x14ac:dyDescent="0.25">
      <c r="B246" s="113">
        <v>184</v>
      </c>
      <c r="C246" s="115" t="s">
        <v>49</v>
      </c>
      <c r="D246" s="117" t="s">
        <v>44</v>
      </c>
      <c r="E246" s="119">
        <f>ROUND((I246*H246)/1000,3)</f>
        <v>3.1E-2</v>
      </c>
      <c r="F246" s="111" t="s">
        <v>45</v>
      </c>
      <c r="G246" s="112"/>
      <c r="H246" s="19">
        <f>52*I244</f>
        <v>52</v>
      </c>
      <c r="I246" s="53">
        <f>ROUND(0.68*0.888,2)</f>
        <v>0.6</v>
      </c>
      <c r="J246" s="98"/>
    </row>
    <row r="247" spans="2:11" ht="15.75" x14ac:dyDescent="0.25">
      <c r="B247" s="114"/>
      <c r="C247" s="116"/>
      <c r="D247" s="118"/>
      <c r="E247" s="120"/>
      <c r="F247" s="127" t="s">
        <v>50</v>
      </c>
      <c r="G247" s="128"/>
      <c r="H247" s="128"/>
      <c r="I247" s="129"/>
      <c r="J247" s="98"/>
    </row>
    <row r="248" spans="2:11" ht="15.75" customHeight="1" x14ac:dyDescent="0.25">
      <c r="B248" s="149">
        <v>185</v>
      </c>
      <c r="C248" s="115" t="s">
        <v>141</v>
      </c>
      <c r="D248" s="131" t="s">
        <v>44</v>
      </c>
      <c r="E248" s="119">
        <f>ROUND((I248*H248)/1000,4)</f>
        <v>1E-3</v>
      </c>
      <c r="F248" s="111" t="s">
        <v>94</v>
      </c>
      <c r="G248" s="112"/>
      <c r="H248" s="19">
        <f>8*I244</f>
        <v>8</v>
      </c>
      <c r="I248" s="53">
        <f>ROUND(0.2*0.617,2)</f>
        <v>0.12</v>
      </c>
      <c r="J248" s="98"/>
      <c r="K248" s="73"/>
    </row>
    <row r="249" spans="2:11" ht="15.75" x14ac:dyDescent="0.25">
      <c r="B249" s="149"/>
      <c r="C249" s="116"/>
      <c r="D249" s="118"/>
      <c r="E249" s="120"/>
      <c r="F249" s="127" t="s">
        <v>109</v>
      </c>
      <c r="G249" s="128"/>
      <c r="H249" s="128"/>
      <c r="I249" s="129"/>
      <c r="J249" s="98"/>
      <c r="K249" s="73"/>
    </row>
    <row r="250" spans="2:11" ht="15.75" x14ac:dyDescent="0.25">
      <c r="B250" s="80">
        <v>186</v>
      </c>
      <c r="C250" s="33" t="s">
        <v>54</v>
      </c>
      <c r="D250" s="86" t="s">
        <v>44</v>
      </c>
      <c r="E250" s="86">
        <f>ROUND(H250*I250/1000,3)</f>
        <v>4.0000000000000001E-3</v>
      </c>
      <c r="F250" s="121" t="s">
        <v>5</v>
      </c>
      <c r="G250" s="122"/>
      <c r="H250" s="24">
        <f>8*I244</f>
        <v>8</v>
      </c>
      <c r="I250" s="54">
        <f>ROUND(0.16*0.06*0.006*7850,2)</f>
        <v>0.45</v>
      </c>
      <c r="J250" s="98"/>
    </row>
    <row r="251" spans="2:11" ht="15.75" x14ac:dyDescent="0.25">
      <c r="B251" s="80">
        <v>187</v>
      </c>
      <c r="C251" s="33" t="s">
        <v>55</v>
      </c>
      <c r="D251" s="86" t="s">
        <v>44</v>
      </c>
      <c r="E251" s="86">
        <f>ROUND((H251*I251)/1000,3)</f>
        <v>1.2E-2</v>
      </c>
      <c r="F251" s="121" t="s">
        <v>75</v>
      </c>
      <c r="G251" s="122"/>
      <c r="H251" s="24">
        <f>10*I244</f>
        <v>10</v>
      </c>
      <c r="I251" s="54">
        <f>ROUND(0.21*0.07*0.01*7850,2)</f>
        <v>1.1499999999999999</v>
      </c>
      <c r="J251" s="98"/>
    </row>
    <row r="252" spans="2:11" ht="15.75" x14ac:dyDescent="0.25">
      <c r="B252" s="80">
        <v>188</v>
      </c>
      <c r="C252" s="33" t="s">
        <v>80</v>
      </c>
      <c r="D252" s="86" t="s">
        <v>44</v>
      </c>
      <c r="E252" s="86">
        <f>ROUND(H252*I252/1000,3)</f>
        <v>8.9999999999999993E-3</v>
      </c>
      <c r="F252" s="121" t="s">
        <v>72</v>
      </c>
      <c r="G252" s="122"/>
      <c r="H252" s="28">
        <f>0.19*I244</f>
        <v>0.19</v>
      </c>
      <c r="I252" s="67">
        <v>47.1</v>
      </c>
      <c r="J252" s="98">
        <f>0.19*47.1</f>
        <v>8.9489999999999998</v>
      </c>
    </row>
    <row r="253" spans="2:11" ht="15.75" x14ac:dyDescent="0.25">
      <c r="B253" s="80">
        <v>189</v>
      </c>
      <c r="C253" s="33" t="s">
        <v>48</v>
      </c>
      <c r="D253" s="86" t="s">
        <v>44</v>
      </c>
      <c r="E253" s="89">
        <f>ROUND((I253*H253)/1000,3)</f>
        <v>8.0000000000000002E-3</v>
      </c>
      <c r="F253" s="121" t="s">
        <v>56</v>
      </c>
      <c r="G253" s="122"/>
      <c r="H253" s="28">
        <f>2.41*I244</f>
        <v>2.41</v>
      </c>
      <c r="I253" s="67">
        <v>3.17</v>
      </c>
      <c r="J253" s="98"/>
    </row>
    <row r="254" spans="2:11" ht="15.75" x14ac:dyDescent="0.25">
      <c r="B254" s="80">
        <v>190</v>
      </c>
      <c r="C254" s="88" t="s">
        <v>59</v>
      </c>
      <c r="D254" s="86" t="s">
        <v>10</v>
      </c>
      <c r="E254" s="86">
        <f>8*I244</f>
        <v>8</v>
      </c>
      <c r="F254" s="133" t="s">
        <v>22</v>
      </c>
      <c r="G254" s="134"/>
      <c r="H254" s="134"/>
      <c r="I254" s="135"/>
      <c r="J254" s="98"/>
    </row>
    <row r="255" spans="2:11" ht="15.75" x14ac:dyDescent="0.25">
      <c r="B255" s="80">
        <v>191</v>
      </c>
      <c r="C255" s="88" t="s">
        <v>57</v>
      </c>
      <c r="D255" s="86" t="s">
        <v>10</v>
      </c>
      <c r="E255" s="86">
        <f>8*I244</f>
        <v>8</v>
      </c>
      <c r="F255" s="143" t="s">
        <v>58</v>
      </c>
      <c r="G255" s="143"/>
      <c r="H255" s="143"/>
      <c r="I255" s="144"/>
      <c r="J255" s="104"/>
    </row>
    <row r="256" spans="2:11" ht="15.75" x14ac:dyDescent="0.25">
      <c r="B256" s="80">
        <v>192</v>
      </c>
      <c r="C256" s="33" t="s">
        <v>60</v>
      </c>
      <c r="D256" s="86" t="s">
        <v>44</v>
      </c>
      <c r="E256" s="86">
        <f>ROUND((I256*H256)/1000,3)</f>
        <v>5.0999999999999997E-2</v>
      </c>
      <c r="F256" s="121" t="s">
        <v>61</v>
      </c>
      <c r="G256" s="122"/>
      <c r="H256" s="22">
        <f>32.36*I244</f>
        <v>32.36</v>
      </c>
      <c r="I256" s="55">
        <f>ROUND(1.578,2)</f>
        <v>1.58</v>
      </c>
      <c r="J256" s="98"/>
    </row>
    <row r="257" spans="2:10" ht="15.75" x14ac:dyDescent="0.25">
      <c r="B257" s="80">
        <v>193</v>
      </c>
      <c r="C257" s="33" t="s">
        <v>62</v>
      </c>
      <c r="D257" s="86" t="s">
        <v>27</v>
      </c>
      <c r="E257" s="86">
        <f>0.42*I244</f>
        <v>0.42</v>
      </c>
      <c r="F257" s="121" t="s">
        <v>21</v>
      </c>
      <c r="G257" s="122"/>
      <c r="H257" s="122"/>
      <c r="I257" s="123"/>
      <c r="J257" s="104"/>
    </row>
    <row r="258" spans="2:10" ht="15.75" x14ac:dyDescent="0.25">
      <c r="B258" s="80">
        <v>194</v>
      </c>
      <c r="C258" s="88" t="s">
        <v>81</v>
      </c>
      <c r="D258" s="86" t="s">
        <v>11</v>
      </c>
      <c r="E258" s="4">
        <f>E257/0.16</f>
        <v>2.625</v>
      </c>
      <c r="F258" s="121" t="s">
        <v>22</v>
      </c>
      <c r="G258" s="122"/>
      <c r="H258" s="122"/>
      <c r="I258" s="123"/>
      <c r="J258" s="104"/>
    </row>
    <row r="259" spans="2:10" ht="18" customHeight="1" x14ac:dyDescent="0.25">
      <c r="B259" s="80">
        <v>195</v>
      </c>
      <c r="C259" s="88" t="s">
        <v>90</v>
      </c>
      <c r="D259" s="86" t="s">
        <v>27</v>
      </c>
      <c r="E259" s="92">
        <f>(((0.09*0.01*(0.064+0.01+0.064))*2)+(0.01*0.09*0.7))*I244</f>
        <v>8.7839999999999988E-4</v>
      </c>
      <c r="F259" s="124" t="s">
        <v>140</v>
      </c>
      <c r="G259" s="125"/>
      <c r="H259" s="125"/>
      <c r="I259" s="126"/>
      <c r="J259" s="105"/>
    </row>
    <row r="260" spans="2:10" ht="15.75" x14ac:dyDescent="0.25">
      <c r="B260" s="80">
        <v>196</v>
      </c>
      <c r="C260" s="33" t="s">
        <v>46</v>
      </c>
      <c r="D260" s="86" t="s">
        <v>11</v>
      </c>
      <c r="E260" s="4">
        <f>(E245+E250+E251+E252)*24</f>
        <v>9.9120000000000008</v>
      </c>
      <c r="F260" s="133" t="s">
        <v>82</v>
      </c>
      <c r="G260" s="134"/>
      <c r="H260" s="134"/>
      <c r="I260" s="135"/>
      <c r="J260" s="98"/>
    </row>
    <row r="261" spans="2:10" ht="32.25" thickBot="1" x14ac:dyDescent="0.3">
      <c r="B261" s="80">
        <v>197</v>
      </c>
      <c r="C261" s="88" t="s">
        <v>47</v>
      </c>
      <c r="D261" s="86" t="s">
        <v>11</v>
      </c>
      <c r="E261" s="4">
        <f>E260</f>
        <v>9.9120000000000008</v>
      </c>
      <c r="F261" s="136" t="s">
        <v>83</v>
      </c>
      <c r="G261" s="137"/>
      <c r="H261" s="137"/>
      <c r="I261" s="138"/>
      <c r="J261" s="98"/>
    </row>
    <row r="262" spans="2:10" ht="30" customHeight="1" thickTop="1" thickBot="1" x14ac:dyDescent="0.3">
      <c r="B262" s="109" t="s">
        <v>120</v>
      </c>
      <c r="C262" s="110"/>
      <c r="D262" s="110"/>
      <c r="E262" s="110"/>
      <c r="F262" s="110"/>
      <c r="G262" s="110"/>
      <c r="H262" s="110"/>
      <c r="I262" s="21">
        <v>1</v>
      </c>
      <c r="J262" s="103"/>
    </row>
    <row r="263" spans="2:10" ht="16.5" thickTop="1" x14ac:dyDescent="0.25">
      <c r="B263" s="82">
        <v>198</v>
      </c>
      <c r="C263" s="79" t="s">
        <v>42</v>
      </c>
      <c r="D263" s="77" t="s">
        <v>44</v>
      </c>
      <c r="E263" s="85">
        <f>ROUND(H263*I263/1000,3)</f>
        <v>0.28999999999999998</v>
      </c>
      <c r="F263" s="151" t="s">
        <v>74</v>
      </c>
      <c r="G263" s="152"/>
      <c r="H263" s="36">
        <f>17.8*I262</f>
        <v>17.8</v>
      </c>
      <c r="I263" s="68">
        <v>16.3</v>
      </c>
      <c r="J263" s="98"/>
    </row>
    <row r="264" spans="2:10" ht="15.75" x14ac:dyDescent="0.25">
      <c r="B264" s="113">
        <v>199</v>
      </c>
      <c r="C264" s="115" t="s">
        <v>49</v>
      </c>
      <c r="D264" s="117" t="s">
        <v>44</v>
      </c>
      <c r="E264" s="119">
        <f>ROUND((I264*H264)/1000,3)</f>
        <v>2.8000000000000001E-2</v>
      </c>
      <c r="F264" s="111" t="s">
        <v>45</v>
      </c>
      <c r="G264" s="112"/>
      <c r="H264" s="19">
        <f>46*I262</f>
        <v>46</v>
      </c>
      <c r="I264" s="53">
        <f>ROUND(0.68*0.888,2)</f>
        <v>0.6</v>
      </c>
      <c r="J264" s="98"/>
    </row>
    <row r="265" spans="2:10" ht="15.75" x14ac:dyDescent="0.25">
      <c r="B265" s="114"/>
      <c r="C265" s="116"/>
      <c r="D265" s="118"/>
      <c r="E265" s="120"/>
      <c r="F265" s="127" t="s">
        <v>50</v>
      </c>
      <c r="G265" s="128"/>
      <c r="H265" s="128"/>
      <c r="I265" s="129"/>
      <c r="J265" s="98"/>
    </row>
    <row r="266" spans="2:10" ht="15.75" x14ac:dyDescent="0.25">
      <c r="B266" s="149">
        <v>200</v>
      </c>
      <c r="C266" s="115" t="s">
        <v>141</v>
      </c>
      <c r="D266" s="131" t="s">
        <v>44</v>
      </c>
      <c r="E266" s="119">
        <f>ROUND((I266*H266)/1000,4)</f>
        <v>1E-3</v>
      </c>
      <c r="F266" s="111" t="s">
        <v>94</v>
      </c>
      <c r="G266" s="112"/>
      <c r="H266" s="19">
        <f>8*I262</f>
        <v>8</v>
      </c>
      <c r="I266" s="53">
        <f>ROUND(0.2*0.617,2)</f>
        <v>0.12</v>
      </c>
      <c r="J266" s="98"/>
    </row>
    <row r="267" spans="2:10" ht="15.75" x14ac:dyDescent="0.25">
      <c r="B267" s="149"/>
      <c r="C267" s="116"/>
      <c r="D267" s="118"/>
      <c r="E267" s="120"/>
      <c r="F267" s="127" t="s">
        <v>109</v>
      </c>
      <c r="G267" s="128"/>
      <c r="H267" s="128"/>
      <c r="I267" s="129"/>
      <c r="J267" s="98"/>
    </row>
    <row r="268" spans="2:10" ht="15.75" x14ac:dyDescent="0.25">
      <c r="B268" s="80">
        <v>201</v>
      </c>
      <c r="C268" s="33" t="s">
        <v>54</v>
      </c>
      <c r="D268" s="86" t="s">
        <v>44</v>
      </c>
      <c r="E268" s="86">
        <f>ROUND(H268*I268/1000,3)</f>
        <v>4.0000000000000001E-3</v>
      </c>
      <c r="F268" s="121" t="s">
        <v>5</v>
      </c>
      <c r="G268" s="122"/>
      <c r="H268" s="24">
        <f>8*I262</f>
        <v>8</v>
      </c>
      <c r="I268" s="54">
        <f>ROUND(0.16*0.06*0.006*7850,2)</f>
        <v>0.45</v>
      </c>
      <c r="J268" s="98"/>
    </row>
    <row r="269" spans="2:10" ht="15.75" x14ac:dyDescent="0.25">
      <c r="B269" s="80">
        <v>202</v>
      </c>
      <c r="C269" s="33" t="s">
        <v>55</v>
      </c>
      <c r="D269" s="86" t="s">
        <v>44</v>
      </c>
      <c r="E269" s="86">
        <f>ROUND((H269*I269)/1000,3)</f>
        <v>8.9999999999999993E-3</v>
      </c>
      <c r="F269" s="121" t="s">
        <v>75</v>
      </c>
      <c r="G269" s="122"/>
      <c r="H269" s="24">
        <f>8*I262</f>
        <v>8</v>
      </c>
      <c r="I269" s="54">
        <f>ROUND(0.21*0.07*0.01*7850,2)</f>
        <v>1.1499999999999999</v>
      </c>
      <c r="J269" s="98"/>
    </row>
    <row r="270" spans="2:10" ht="15.75" x14ac:dyDescent="0.25">
      <c r="B270" s="80">
        <v>203</v>
      </c>
      <c r="C270" s="33" t="s">
        <v>48</v>
      </c>
      <c r="D270" s="86" t="s">
        <v>44</v>
      </c>
      <c r="E270" s="89">
        <f>ROUND((I270*H270)/1000,3)</f>
        <v>6.0000000000000001E-3</v>
      </c>
      <c r="F270" s="121" t="s">
        <v>56</v>
      </c>
      <c r="G270" s="122"/>
      <c r="H270" s="28">
        <f>1.77*I262</f>
        <v>1.77</v>
      </c>
      <c r="I270" s="67">
        <v>3.17</v>
      </c>
      <c r="J270" s="98"/>
    </row>
    <row r="271" spans="2:10" ht="15.75" x14ac:dyDescent="0.25">
      <c r="B271" s="80">
        <v>204</v>
      </c>
      <c r="C271" s="88" t="s">
        <v>59</v>
      </c>
      <c r="D271" s="86" t="s">
        <v>10</v>
      </c>
      <c r="E271" s="86">
        <f>8*I262</f>
        <v>8</v>
      </c>
      <c r="F271" s="133" t="s">
        <v>22</v>
      </c>
      <c r="G271" s="134"/>
      <c r="H271" s="134"/>
      <c r="I271" s="135"/>
      <c r="J271" s="98"/>
    </row>
    <row r="272" spans="2:10" ht="15.75" x14ac:dyDescent="0.25">
      <c r="B272" s="80">
        <v>205</v>
      </c>
      <c r="C272" s="88" t="s">
        <v>57</v>
      </c>
      <c r="D272" s="86" t="s">
        <v>10</v>
      </c>
      <c r="E272" s="86">
        <f>8*I262</f>
        <v>8</v>
      </c>
      <c r="F272" s="143" t="s">
        <v>58</v>
      </c>
      <c r="G272" s="143"/>
      <c r="H272" s="143"/>
      <c r="I272" s="144"/>
      <c r="J272" s="104"/>
    </row>
    <row r="273" spans="2:10" ht="15.75" x14ac:dyDescent="0.25">
      <c r="B273" s="80">
        <v>206</v>
      </c>
      <c r="C273" s="33" t="s">
        <v>60</v>
      </c>
      <c r="D273" s="86" t="s">
        <v>44</v>
      </c>
      <c r="E273" s="86">
        <f>ROUND((I273*H273)/1000,3)</f>
        <v>2.9000000000000001E-2</v>
      </c>
      <c r="F273" s="121" t="s">
        <v>61</v>
      </c>
      <c r="G273" s="122"/>
      <c r="H273" s="22">
        <f>18.52*I262</f>
        <v>18.52</v>
      </c>
      <c r="I273" s="55">
        <f>ROUND(1.578,2)</f>
        <v>1.58</v>
      </c>
      <c r="J273" s="98"/>
    </row>
    <row r="274" spans="2:10" ht="15.75" x14ac:dyDescent="0.25">
      <c r="B274" s="80">
        <v>207</v>
      </c>
      <c r="C274" s="33" t="s">
        <v>62</v>
      </c>
      <c r="D274" s="86" t="s">
        <v>27</v>
      </c>
      <c r="E274" s="86">
        <f>0.28*I262</f>
        <v>0.28000000000000003</v>
      </c>
      <c r="F274" s="121" t="s">
        <v>21</v>
      </c>
      <c r="G274" s="122"/>
      <c r="H274" s="122"/>
      <c r="I274" s="123"/>
      <c r="J274" s="104"/>
    </row>
    <row r="275" spans="2:10" ht="15.75" x14ac:dyDescent="0.25">
      <c r="B275" s="80">
        <v>208</v>
      </c>
      <c r="C275" s="88" t="s">
        <v>81</v>
      </c>
      <c r="D275" s="86" t="s">
        <v>11</v>
      </c>
      <c r="E275" s="4">
        <f>E274/0.16</f>
        <v>1.7500000000000002</v>
      </c>
      <c r="F275" s="121" t="s">
        <v>22</v>
      </c>
      <c r="G275" s="122"/>
      <c r="H275" s="122"/>
      <c r="I275" s="123"/>
      <c r="J275" s="104"/>
    </row>
    <row r="276" spans="2:10" ht="17.25" customHeight="1" x14ac:dyDescent="0.25">
      <c r="B276" s="80">
        <v>209</v>
      </c>
      <c r="C276" s="88" t="s">
        <v>90</v>
      </c>
      <c r="D276" s="86" t="s">
        <v>27</v>
      </c>
      <c r="E276" s="92">
        <f>((0.09*0.01*(0.064+0.01+0.064))*4)*I262</f>
        <v>4.9680000000000004E-4</v>
      </c>
      <c r="F276" s="124" t="s">
        <v>139</v>
      </c>
      <c r="G276" s="125"/>
      <c r="H276" s="125"/>
      <c r="I276" s="126"/>
      <c r="J276" s="105"/>
    </row>
    <row r="277" spans="2:10" ht="15.75" x14ac:dyDescent="0.25">
      <c r="B277" s="80">
        <v>210</v>
      </c>
      <c r="C277" s="33" t="s">
        <v>46</v>
      </c>
      <c r="D277" s="86" t="s">
        <v>11</v>
      </c>
      <c r="E277" s="4">
        <f>(E263+E268+E269)*24</f>
        <v>7.2720000000000002</v>
      </c>
      <c r="F277" s="133" t="s">
        <v>82</v>
      </c>
      <c r="G277" s="134"/>
      <c r="H277" s="134"/>
      <c r="I277" s="135"/>
      <c r="J277" s="98"/>
    </row>
    <row r="278" spans="2:10" ht="32.25" thickBot="1" x14ac:dyDescent="0.3">
      <c r="B278" s="80">
        <v>211</v>
      </c>
      <c r="C278" s="88" t="s">
        <v>47</v>
      </c>
      <c r="D278" s="86" t="s">
        <v>11</v>
      </c>
      <c r="E278" s="4">
        <f>E277</f>
        <v>7.2720000000000002</v>
      </c>
      <c r="F278" s="136" t="s">
        <v>83</v>
      </c>
      <c r="G278" s="137"/>
      <c r="H278" s="137"/>
      <c r="I278" s="138"/>
      <c r="J278" s="98"/>
    </row>
    <row r="279" spans="2:10" ht="30" customHeight="1" thickTop="1" thickBot="1" x14ac:dyDescent="0.3">
      <c r="B279" s="109" t="s">
        <v>76</v>
      </c>
      <c r="C279" s="110"/>
      <c r="D279" s="110"/>
      <c r="E279" s="110"/>
      <c r="F279" s="110"/>
      <c r="G279" s="110"/>
      <c r="H279" s="110"/>
      <c r="I279" s="21">
        <v>5</v>
      </c>
      <c r="J279" s="103"/>
    </row>
    <row r="280" spans="2:10" ht="16.5" thickTop="1" x14ac:dyDescent="0.25">
      <c r="B280" s="82">
        <v>212</v>
      </c>
      <c r="C280" s="79" t="s">
        <v>42</v>
      </c>
      <c r="D280" s="77" t="s">
        <v>44</v>
      </c>
      <c r="E280" s="85">
        <f>ROUND(H280*I280/1000,3)</f>
        <v>1.883</v>
      </c>
      <c r="F280" s="151" t="s">
        <v>74</v>
      </c>
      <c r="G280" s="152"/>
      <c r="H280" s="36">
        <f>23.1*I279</f>
        <v>115.5</v>
      </c>
      <c r="I280" s="68">
        <v>16.3</v>
      </c>
      <c r="J280" s="98"/>
    </row>
    <row r="281" spans="2:10" ht="15.75" x14ac:dyDescent="0.25">
      <c r="B281" s="113">
        <v>213</v>
      </c>
      <c r="C281" s="115" t="s">
        <v>49</v>
      </c>
      <c r="D281" s="117" t="s">
        <v>44</v>
      </c>
      <c r="E281" s="119">
        <f>ROUND((I281*H281)/1000,3)</f>
        <v>0.16200000000000001</v>
      </c>
      <c r="F281" s="111" t="s">
        <v>45</v>
      </c>
      <c r="G281" s="112"/>
      <c r="H281" s="19">
        <f>54*I279</f>
        <v>270</v>
      </c>
      <c r="I281" s="53">
        <f>ROUND(0.68*0.888,2)</f>
        <v>0.6</v>
      </c>
      <c r="J281" s="98"/>
    </row>
    <row r="282" spans="2:10" ht="15.75" x14ac:dyDescent="0.25">
      <c r="B282" s="114"/>
      <c r="C282" s="116"/>
      <c r="D282" s="118"/>
      <c r="E282" s="120"/>
      <c r="F282" s="127" t="s">
        <v>50</v>
      </c>
      <c r="G282" s="128"/>
      <c r="H282" s="128"/>
      <c r="I282" s="129"/>
      <c r="J282" s="98"/>
    </row>
    <row r="283" spans="2:10" ht="15.75" x14ac:dyDescent="0.25">
      <c r="B283" s="149">
        <v>214</v>
      </c>
      <c r="C283" s="115" t="s">
        <v>141</v>
      </c>
      <c r="D283" s="131" t="s">
        <v>44</v>
      </c>
      <c r="E283" s="119">
        <f>ROUND((I283*H283)/1000,4)</f>
        <v>4.7999999999999996E-3</v>
      </c>
      <c r="F283" s="111" t="s">
        <v>94</v>
      </c>
      <c r="G283" s="112"/>
      <c r="H283" s="19">
        <f>8*I279</f>
        <v>40</v>
      </c>
      <c r="I283" s="53">
        <f>ROUND(0.2*0.617,2)</f>
        <v>0.12</v>
      </c>
      <c r="J283" s="98"/>
    </row>
    <row r="284" spans="2:10" ht="15.75" x14ac:dyDescent="0.25">
      <c r="B284" s="149"/>
      <c r="C284" s="116"/>
      <c r="D284" s="118"/>
      <c r="E284" s="120"/>
      <c r="F284" s="127" t="s">
        <v>109</v>
      </c>
      <c r="G284" s="128"/>
      <c r="H284" s="128"/>
      <c r="I284" s="129"/>
      <c r="J284" s="98"/>
    </row>
    <row r="285" spans="2:10" ht="15.75" x14ac:dyDescent="0.25">
      <c r="B285" s="80">
        <v>215</v>
      </c>
      <c r="C285" s="33" t="s">
        <v>54</v>
      </c>
      <c r="D285" s="86" t="s">
        <v>44</v>
      </c>
      <c r="E285" s="86">
        <f>ROUND(H285*I285/1000,3)</f>
        <v>1.7999999999999999E-2</v>
      </c>
      <c r="F285" s="121" t="s">
        <v>5</v>
      </c>
      <c r="G285" s="122"/>
      <c r="H285" s="24">
        <f>8*I279</f>
        <v>40</v>
      </c>
      <c r="I285" s="54">
        <f>ROUND(0.16*0.06*0.006*7850,2)</f>
        <v>0.45</v>
      </c>
      <c r="J285" s="98"/>
    </row>
    <row r="286" spans="2:10" ht="15.75" x14ac:dyDescent="0.25">
      <c r="B286" s="80">
        <v>216</v>
      </c>
      <c r="C286" s="33" t="s">
        <v>55</v>
      </c>
      <c r="D286" s="86" t="s">
        <v>44</v>
      </c>
      <c r="E286" s="86">
        <f>ROUND((H286*I286)/1000,3)</f>
        <v>5.8000000000000003E-2</v>
      </c>
      <c r="F286" s="121" t="s">
        <v>75</v>
      </c>
      <c r="G286" s="122"/>
      <c r="H286" s="24">
        <f>10*I279</f>
        <v>50</v>
      </c>
      <c r="I286" s="54">
        <f>ROUND(0.21*0.07*0.01*7850,2)</f>
        <v>1.1499999999999999</v>
      </c>
      <c r="J286" s="98"/>
    </row>
    <row r="287" spans="2:10" ht="15.75" x14ac:dyDescent="0.25">
      <c r="B287" s="80">
        <v>217</v>
      </c>
      <c r="C287" s="33" t="s">
        <v>48</v>
      </c>
      <c r="D287" s="86" t="s">
        <v>44</v>
      </c>
      <c r="E287" s="89">
        <f>ROUND((I287*H287)/1000,3)</f>
        <v>0.04</v>
      </c>
      <c r="F287" s="121" t="s">
        <v>56</v>
      </c>
      <c r="G287" s="122"/>
      <c r="H287" s="28">
        <f>2.54*I279</f>
        <v>12.7</v>
      </c>
      <c r="I287" s="67">
        <v>3.17</v>
      </c>
      <c r="J287" s="98"/>
    </row>
    <row r="288" spans="2:10" ht="15.75" x14ac:dyDescent="0.25">
      <c r="B288" s="80">
        <v>218</v>
      </c>
      <c r="C288" s="88" t="s">
        <v>59</v>
      </c>
      <c r="D288" s="86" t="s">
        <v>10</v>
      </c>
      <c r="E288" s="86">
        <f>8*I279</f>
        <v>40</v>
      </c>
      <c r="F288" s="133" t="s">
        <v>22</v>
      </c>
      <c r="G288" s="134"/>
      <c r="H288" s="134"/>
      <c r="I288" s="135"/>
      <c r="J288" s="98"/>
    </row>
    <row r="289" spans="2:10" ht="15.75" x14ac:dyDescent="0.25">
      <c r="B289" s="80">
        <v>219</v>
      </c>
      <c r="C289" s="88" t="s">
        <v>57</v>
      </c>
      <c r="D289" s="86" t="s">
        <v>10</v>
      </c>
      <c r="E289" s="86">
        <f>8*I279</f>
        <v>40</v>
      </c>
      <c r="F289" s="143" t="s">
        <v>58</v>
      </c>
      <c r="G289" s="143"/>
      <c r="H289" s="143"/>
      <c r="I289" s="144"/>
      <c r="J289" s="104"/>
    </row>
    <row r="290" spans="2:10" ht="15.75" x14ac:dyDescent="0.25">
      <c r="B290" s="80">
        <v>220</v>
      </c>
      <c r="C290" s="33" t="s">
        <v>60</v>
      </c>
      <c r="D290" s="86" t="s">
        <v>44</v>
      </c>
      <c r="E290" s="86">
        <f>ROUND((I290*H290)/1000,3)</f>
        <v>0.20499999999999999</v>
      </c>
      <c r="F290" s="121" t="s">
        <v>61</v>
      </c>
      <c r="G290" s="122"/>
      <c r="H290" s="22">
        <f>25.96*I279</f>
        <v>129.80000000000001</v>
      </c>
      <c r="I290" s="55">
        <f>ROUND(1.578,2)</f>
        <v>1.58</v>
      </c>
      <c r="J290" s="98"/>
    </row>
    <row r="291" spans="2:10" ht="15.75" x14ac:dyDescent="0.25">
      <c r="B291" s="80">
        <v>221</v>
      </c>
      <c r="C291" s="33" t="s">
        <v>62</v>
      </c>
      <c r="D291" s="86" t="s">
        <v>27</v>
      </c>
      <c r="E291" s="86">
        <f>0.45*I279</f>
        <v>2.25</v>
      </c>
      <c r="F291" s="121" t="s">
        <v>21</v>
      </c>
      <c r="G291" s="122"/>
      <c r="H291" s="122"/>
      <c r="I291" s="123"/>
      <c r="J291" s="104"/>
    </row>
    <row r="292" spans="2:10" ht="15.75" x14ac:dyDescent="0.25">
      <c r="B292" s="80">
        <v>222</v>
      </c>
      <c r="C292" s="88" t="s">
        <v>81</v>
      </c>
      <c r="D292" s="86" t="s">
        <v>11</v>
      </c>
      <c r="E292" s="4">
        <f>E291/0.16</f>
        <v>14.0625</v>
      </c>
      <c r="F292" s="121" t="s">
        <v>22</v>
      </c>
      <c r="G292" s="122"/>
      <c r="H292" s="122"/>
      <c r="I292" s="123"/>
      <c r="J292" s="104"/>
    </row>
    <row r="293" spans="2:10" ht="17.25" customHeight="1" x14ac:dyDescent="0.25">
      <c r="B293" s="80">
        <v>223</v>
      </c>
      <c r="C293" s="88" t="s">
        <v>90</v>
      </c>
      <c r="D293" s="86" t="s">
        <v>27</v>
      </c>
      <c r="E293" s="92">
        <f>((0.09*0.01*(0.064+0.01+0.064))*4)*I279</f>
        <v>2.4840000000000001E-3</v>
      </c>
      <c r="F293" s="124" t="s">
        <v>140</v>
      </c>
      <c r="G293" s="125"/>
      <c r="H293" s="125"/>
      <c r="I293" s="126"/>
      <c r="J293" s="105"/>
    </row>
    <row r="294" spans="2:10" ht="15.75" x14ac:dyDescent="0.25">
      <c r="B294" s="80">
        <v>224</v>
      </c>
      <c r="C294" s="33" t="s">
        <v>46</v>
      </c>
      <c r="D294" s="86" t="s">
        <v>11</v>
      </c>
      <c r="E294" s="4">
        <f>(E280+E285+E286)*24</f>
        <v>47.016000000000005</v>
      </c>
      <c r="F294" s="133" t="s">
        <v>82</v>
      </c>
      <c r="G294" s="134"/>
      <c r="H294" s="134"/>
      <c r="I294" s="135"/>
      <c r="J294" s="98"/>
    </row>
    <row r="295" spans="2:10" ht="32.25" thickBot="1" x14ac:dyDescent="0.3">
      <c r="B295" s="80">
        <v>225</v>
      </c>
      <c r="C295" s="88" t="s">
        <v>47</v>
      </c>
      <c r="D295" s="86" t="s">
        <v>11</v>
      </c>
      <c r="E295" s="4">
        <f>E294</f>
        <v>47.016000000000005</v>
      </c>
      <c r="F295" s="136" t="s">
        <v>83</v>
      </c>
      <c r="G295" s="137"/>
      <c r="H295" s="137"/>
      <c r="I295" s="138"/>
      <c r="J295" s="98"/>
    </row>
    <row r="296" spans="2:10" ht="30.75" customHeight="1" thickTop="1" thickBot="1" x14ac:dyDescent="0.3">
      <c r="B296" s="109" t="s">
        <v>77</v>
      </c>
      <c r="C296" s="110"/>
      <c r="D296" s="110"/>
      <c r="E296" s="110"/>
      <c r="F296" s="110"/>
      <c r="G296" s="110"/>
      <c r="H296" s="110"/>
      <c r="I296" s="21">
        <v>1</v>
      </c>
      <c r="J296" s="103"/>
    </row>
    <row r="297" spans="2:10" ht="16.5" thickTop="1" x14ac:dyDescent="0.25">
      <c r="B297" s="82">
        <v>226</v>
      </c>
      <c r="C297" s="79" t="s">
        <v>42</v>
      </c>
      <c r="D297" s="77" t="s">
        <v>44</v>
      </c>
      <c r="E297" s="85">
        <f>ROUND(H297*I297/1000,3)</f>
        <v>0.42199999999999999</v>
      </c>
      <c r="F297" s="151" t="s">
        <v>74</v>
      </c>
      <c r="G297" s="152"/>
      <c r="H297" s="36">
        <f>25.9*I296</f>
        <v>25.9</v>
      </c>
      <c r="I297" s="68">
        <v>16.3</v>
      </c>
      <c r="J297" s="98"/>
    </row>
    <row r="298" spans="2:10" ht="15.75" x14ac:dyDescent="0.25">
      <c r="B298" s="113">
        <v>227</v>
      </c>
      <c r="C298" s="115" t="s">
        <v>49</v>
      </c>
      <c r="D298" s="117" t="s">
        <v>44</v>
      </c>
      <c r="E298" s="119">
        <f>ROUND((I298*H298)/1000,3)</f>
        <v>3.5000000000000003E-2</v>
      </c>
      <c r="F298" s="111" t="s">
        <v>45</v>
      </c>
      <c r="G298" s="112"/>
      <c r="H298" s="19">
        <f>58*I296</f>
        <v>58</v>
      </c>
      <c r="I298" s="53">
        <f>ROUND(0.68*0.888,2)</f>
        <v>0.6</v>
      </c>
      <c r="J298" s="98"/>
    </row>
    <row r="299" spans="2:10" ht="15.75" x14ac:dyDescent="0.25">
      <c r="B299" s="114"/>
      <c r="C299" s="116"/>
      <c r="D299" s="118"/>
      <c r="E299" s="120"/>
      <c r="F299" s="127" t="s">
        <v>50</v>
      </c>
      <c r="G299" s="128"/>
      <c r="H299" s="128"/>
      <c r="I299" s="129"/>
      <c r="J299" s="98"/>
    </row>
    <row r="300" spans="2:10" ht="15.75" x14ac:dyDescent="0.25">
      <c r="B300" s="149">
        <v>228</v>
      </c>
      <c r="C300" s="115" t="s">
        <v>141</v>
      </c>
      <c r="D300" s="131" t="s">
        <v>44</v>
      </c>
      <c r="E300" s="119">
        <f>ROUND((I300*H300)/1000,4)</f>
        <v>1E-3</v>
      </c>
      <c r="F300" s="111" t="s">
        <v>94</v>
      </c>
      <c r="G300" s="112"/>
      <c r="H300" s="19">
        <f>8*I296</f>
        <v>8</v>
      </c>
      <c r="I300" s="53">
        <f>ROUND(0.2*0.617,2)</f>
        <v>0.12</v>
      </c>
      <c r="J300" s="98"/>
    </row>
    <row r="301" spans="2:10" ht="15.75" x14ac:dyDescent="0.25">
      <c r="B301" s="149"/>
      <c r="C301" s="116"/>
      <c r="D301" s="118"/>
      <c r="E301" s="120"/>
      <c r="F301" s="127" t="s">
        <v>109</v>
      </c>
      <c r="G301" s="128"/>
      <c r="H301" s="128"/>
      <c r="I301" s="129"/>
      <c r="J301" s="98"/>
    </row>
    <row r="302" spans="2:10" ht="15.75" x14ac:dyDescent="0.25">
      <c r="B302" s="80">
        <v>229</v>
      </c>
      <c r="C302" s="33" t="s">
        <v>54</v>
      </c>
      <c r="D302" s="86" t="s">
        <v>44</v>
      </c>
      <c r="E302" s="86">
        <f>ROUND(H302*I302/1000,3)</f>
        <v>4.0000000000000001E-3</v>
      </c>
      <c r="F302" s="141" t="s">
        <v>5</v>
      </c>
      <c r="G302" s="142"/>
      <c r="H302" s="19">
        <f>8*I296</f>
        <v>8</v>
      </c>
      <c r="I302" s="53">
        <f>ROUND(0.16*0.06*0.006*7850,2)</f>
        <v>0.45</v>
      </c>
      <c r="J302" s="98"/>
    </row>
    <row r="303" spans="2:10" ht="15.75" x14ac:dyDescent="0.25">
      <c r="B303" s="113">
        <v>300</v>
      </c>
      <c r="C303" s="145" t="s">
        <v>55</v>
      </c>
      <c r="D303" s="117" t="s">
        <v>44</v>
      </c>
      <c r="E303" s="147">
        <f>ROUND((H303*I303)/1000,3)+ROUND((H304*I304)/1000,3)</f>
        <v>1.3000000000000001E-2</v>
      </c>
      <c r="F303" s="141" t="s">
        <v>75</v>
      </c>
      <c r="G303" s="142"/>
      <c r="H303" s="19">
        <f>10*I296</f>
        <v>10</v>
      </c>
      <c r="I303" s="53">
        <f>ROUND(0.21*0.07*0.01*7850,2)</f>
        <v>1.1499999999999999</v>
      </c>
      <c r="J303" s="98"/>
    </row>
    <row r="304" spans="2:10" ht="15.75" x14ac:dyDescent="0.25">
      <c r="B304" s="130"/>
      <c r="C304" s="196"/>
      <c r="D304" s="131"/>
      <c r="E304" s="197"/>
      <c r="F304" s="153" t="s">
        <v>91</v>
      </c>
      <c r="G304" s="154"/>
      <c r="H304" s="36">
        <f>0.12*I296</f>
        <v>0.12</v>
      </c>
      <c r="I304" s="68">
        <f>ROUND(6.89*1,2)</f>
        <v>6.89</v>
      </c>
      <c r="J304" s="98">
        <f>0.12*6.89</f>
        <v>0.82679999999999998</v>
      </c>
    </row>
    <row r="305" spans="2:10" ht="33.75" customHeight="1" x14ac:dyDescent="0.25">
      <c r="B305" s="114"/>
      <c r="C305" s="146"/>
      <c r="D305" s="118"/>
      <c r="E305" s="148"/>
      <c r="F305" s="193" t="s">
        <v>121</v>
      </c>
      <c r="G305" s="194"/>
      <c r="H305" s="194"/>
      <c r="I305" s="195"/>
      <c r="J305" s="106"/>
    </row>
    <row r="306" spans="2:10" ht="15.75" x14ac:dyDescent="0.25">
      <c r="B306" s="80">
        <v>301</v>
      </c>
      <c r="C306" s="33" t="s">
        <v>48</v>
      </c>
      <c r="D306" s="86" t="s">
        <v>44</v>
      </c>
      <c r="E306" s="89">
        <f>ROUND((I306*H306)/1000,3)</f>
        <v>7.0000000000000001E-3</v>
      </c>
      <c r="F306" s="139" t="s">
        <v>56</v>
      </c>
      <c r="G306" s="140"/>
      <c r="H306" s="69">
        <f>2.16*I296</f>
        <v>2.16</v>
      </c>
      <c r="I306" s="96">
        <v>3.17</v>
      </c>
      <c r="J306" s="98"/>
    </row>
    <row r="307" spans="2:10" ht="15.75" x14ac:dyDescent="0.25">
      <c r="B307" s="80">
        <v>302</v>
      </c>
      <c r="C307" s="88" t="s">
        <v>59</v>
      </c>
      <c r="D307" s="86" t="s">
        <v>10</v>
      </c>
      <c r="E307" s="86">
        <f>8*I296</f>
        <v>8</v>
      </c>
      <c r="F307" s="133" t="s">
        <v>22</v>
      </c>
      <c r="G307" s="134"/>
      <c r="H307" s="134"/>
      <c r="I307" s="135"/>
      <c r="J307" s="98"/>
    </row>
    <row r="308" spans="2:10" ht="15.75" x14ac:dyDescent="0.25">
      <c r="B308" s="80">
        <v>303</v>
      </c>
      <c r="C308" s="88" t="s">
        <v>57</v>
      </c>
      <c r="D308" s="86" t="s">
        <v>10</v>
      </c>
      <c r="E308" s="86">
        <f>8*I296</f>
        <v>8</v>
      </c>
      <c r="F308" s="143" t="s">
        <v>58</v>
      </c>
      <c r="G308" s="143"/>
      <c r="H308" s="143"/>
      <c r="I308" s="144"/>
      <c r="J308" s="104"/>
    </row>
    <row r="309" spans="2:10" ht="15.75" x14ac:dyDescent="0.25">
      <c r="B309" s="80">
        <v>304</v>
      </c>
      <c r="C309" s="33" t="s">
        <v>60</v>
      </c>
      <c r="D309" s="86" t="s">
        <v>44</v>
      </c>
      <c r="E309" s="86">
        <f>ROUND((I309*H309)/1000,3)</f>
        <v>3.5000000000000003E-2</v>
      </c>
      <c r="F309" s="121" t="s">
        <v>61</v>
      </c>
      <c r="G309" s="122"/>
      <c r="H309" s="22">
        <f>22.15*I296</f>
        <v>22.15</v>
      </c>
      <c r="I309" s="55">
        <f>ROUND(1.578,2)</f>
        <v>1.58</v>
      </c>
      <c r="J309" s="98"/>
    </row>
    <row r="310" spans="2:10" ht="15.75" x14ac:dyDescent="0.25">
      <c r="B310" s="80">
        <v>305</v>
      </c>
      <c r="C310" s="33" t="s">
        <v>62</v>
      </c>
      <c r="D310" s="86" t="s">
        <v>27</v>
      </c>
      <c r="E310" s="86">
        <f>0.38*I296</f>
        <v>0.38</v>
      </c>
      <c r="F310" s="121" t="s">
        <v>21</v>
      </c>
      <c r="G310" s="122"/>
      <c r="H310" s="122"/>
      <c r="I310" s="123"/>
      <c r="J310" s="104"/>
    </row>
    <row r="311" spans="2:10" ht="15.75" x14ac:dyDescent="0.25">
      <c r="B311" s="80">
        <v>306</v>
      </c>
      <c r="C311" s="88" t="s">
        <v>81</v>
      </c>
      <c r="D311" s="86" t="s">
        <v>11</v>
      </c>
      <c r="E311" s="4">
        <f>E310/0.16</f>
        <v>2.375</v>
      </c>
      <c r="F311" s="121" t="s">
        <v>22</v>
      </c>
      <c r="G311" s="122"/>
      <c r="H311" s="122"/>
      <c r="I311" s="123"/>
      <c r="J311" s="104"/>
    </row>
    <row r="312" spans="2:10" ht="19.5" customHeight="1" x14ac:dyDescent="0.25">
      <c r="B312" s="80">
        <v>307</v>
      </c>
      <c r="C312" s="88" t="s">
        <v>90</v>
      </c>
      <c r="D312" s="86" t="s">
        <v>27</v>
      </c>
      <c r="E312" s="92">
        <f>((0.09*0.01*(0.064+0.01+0.064))*4)*I296</f>
        <v>4.9680000000000004E-4</v>
      </c>
      <c r="F312" s="124" t="s">
        <v>140</v>
      </c>
      <c r="G312" s="125"/>
      <c r="H312" s="125"/>
      <c r="I312" s="126"/>
      <c r="J312" s="105"/>
    </row>
    <row r="313" spans="2:10" ht="15.75" x14ac:dyDescent="0.25">
      <c r="B313" s="80">
        <v>308</v>
      </c>
      <c r="C313" s="33" t="s">
        <v>46</v>
      </c>
      <c r="D313" s="86" t="s">
        <v>11</v>
      </c>
      <c r="E313" s="4">
        <f>(E297+E302+E303)*24</f>
        <v>10.536</v>
      </c>
      <c r="F313" s="133" t="s">
        <v>82</v>
      </c>
      <c r="G313" s="134"/>
      <c r="H313" s="134"/>
      <c r="I313" s="135"/>
      <c r="J313" s="98"/>
    </row>
    <row r="314" spans="2:10" ht="32.25" thickBot="1" x14ac:dyDescent="0.3">
      <c r="B314" s="56">
        <v>309</v>
      </c>
      <c r="C314" s="57" t="s">
        <v>47</v>
      </c>
      <c r="D314" s="58" t="s">
        <v>11</v>
      </c>
      <c r="E314" s="59">
        <f>E313</f>
        <v>10.536</v>
      </c>
      <c r="F314" s="136" t="s">
        <v>83</v>
      </c>
      <c r="G314" s="137"/>
      <c r="H314" s="137"/>
      <c r="I314" s="138"/>
      <c r="J314" s="98"/>
    </row>
    <row r="315" spans="2:10" ht="30.75" customHeight="1" thickTop="1" thickBot="1" x14ac:dyDescent="0.3">
      <c r="B315" s="109" t="s">
        <v>112</v>
      </c>
      <c r="C315" s="110"/>
      <c r="D315" s="110"/>
      <c r="E315" s="110"/>
      <c r="F315" s="110"/>
      <c r="G315" s="110"/>
      <c r="H315" s="110"/>
      <c r="I315" s="21">
        <v>1</v>
      </c>
      <c r="J315" s="103"/>
    </row>
    <row r="316" spans="2:10" ht="16.5" thickTop="1" x14ac:dyDescent="0.25">
      <c r="B316" s="82">
        <v>310</v>
      </c>
      <c r="C316" s="79" t="s">
        <v>42</v>
      </c>
      <c r="D316" s="77" t="s">
        <v>44</v>
      </c>
      <c r="E316" s="85">
        <f>ROUND(I316*H316/1000,3)</f>
        <v>0.27500000000000002</v>
      </c>
      <c r="F316" s="159" t="s">
        <v>51</v>
      </c>
      <c r="G316" s="160"/>
      <c r="H316" s="30">
        <f>19.35*I315</f>
        <v>19.350000000000001</v>
      </c>
      <c r="I316" s="61">
        <v>14.2</v>
      </c>
      <c r="J316" s="98"/>
    </row>
    <row r="317" spans="2:10" ht="15.75" x14ac:dyDescent="0.25">
      <c r="B317" s="113">
        <v>311</v>
      </c>
      <c r="C317" s="115" t="s">
        <v>49</v>
      </c>
      <c r="D317" s="117" t="s">
        <v>44</v>
      </c>
      <c r="E317" s="119">
        <f>ROUND((I317*H317)/1000,3)</f>
        <v>6.7000000000000004E-2</v>
      </c>
      <c r="F317" s="151" t="s">
        <v>45</v>
      </c>
      <c r="G317" s="152"/>
      <c r="H317" s="26">
        <f>112*I315</f>
        <v>112</v>
      </c>
      <c r="I317" s="52">
        <f>ROUND(0.68*0.888,2)</f>
        <v>0.6</v>
      </c>
      <c r="J317" s="98"/>
    </row>
    <row r="318" spans="2:10" ht="15.75" x14ac:dyDescent="0.25">
      <c r="B318" s="114"/>
      <c r="C318" s="116"/>
      <c r="D318" s="118"/>
      <c r="E318" s="120"/>
      <c r="F318" s="127" t="s">
        <v>50</v>
      </c>
      <c r="G318" s="128"/>
      <c r="H318" s="128"/>
      <c r="I318" s="129"/>
      <c r="J318" s="98"/>
    </row>
    <row r="319" spans="2:10" ht="15.75" x14ac:dyDescent="0.25">
      <c r="B319" s="113">
        <v>312</v>
      </c>
      <c r="C319" s="115" t="s">
        <v>68</v>
      </c>
      <c r="D319" s="131" t="s">
        <v>44</v>
      </c>
      <c r="E319" s="132">
        <f>ROUND((I319*H319)/1000,3)</f>
        <v>0</v>
      </c>
      <c r="F319" s="111" t="s">
        <v>52</v>
      </c>
      <c r="G319" s="112"/>
      <c r="H319" s="19">
        <f>1*I315</f>
        <v>1</v>
      </c>
      <c r="I319" s="53">
        <f>ROUND(0.55*0.617,2)</f>
        <v>0.34</v>
      </c>
      <c r="J319" s="98"/>
    </row>
    <row r="320" spans="2:10" ht="15.75" x14ac:dyDescent="0.25">
      <c r="B320" s="114"/>
      <c r="C320" s="116"/>
      <c r="D320" s="118"/>
      <c r="E320" s="120"/>
      <c r="F320" s="127" t="s">
        <v>53</v>
      </c>
      <c r="G320" s="128"/>
      <c r="H320" s="128"/>
      <c r="I320" s="129"/>
      <c r="J320" s="98"/>
    </row>
    <row r="321" spans="2:10" ht="15.75" x14ac:dyDescent="0.25">
      <c r="B321" s="113">
        <v>313</v>
      </c>
      <c r="C321" s="115" t="s">
        <v>141</v>
      </c>
      <c r="D321" s="131" t="s">
        <v>44</v>
      </c>
      <c r="E321" s="155">
        <f>ROUND((I321*H321)/1000,4)</f>
        <v>2.0000000000000001E-4</v>
      </c>
      <c r="F321" s="111" t="s">
        <v>94</v>
      </c>
      <c r="G321" s="112"/>
      <c r="H321" s="19">
        <f>2*I315</f>
        <v>2</v>
      </c>
      <c r="I321" s="53">
        <f>ROUND(0.2*0.617,2)</f>
        <v>0.12</v>
      </c>
      <c r="J321" s="98"/>
    </row>
    <row r="322" spans="2:10" ht="15.75" x14ac:dyDescent="0.25">
      <c r="B322" s="114"/>
      <c r="C322" s="116"/>
      <c r="D322" s="118"/>
      <c r="E322" s="166"/>
      <c r="F322" s="127" t="s">
        <v>109</v>
      </c>
      <c r="G322" s="128"/>
      <c r="H322" s="128"/>
      <c r="I322" s="129"/>
      <c r="J322" s="98"/>
    </row>
    <row r="323" spans="2:10" ht="15.75" x14ac:dyDescent="0.25">
      <c r="B323" s="113">
        <v>314</v>
      </c>
      <c r="C323" s="115" t="s">
        <v>138</v>
      </c>
      <c r="D323" s="117" t="s">
        <v>44</v>
      </c>
      <c r="E323" s="155">
        <f>ROUND((H323*I323)/1000,4)</f>
        <v>2.0000000000000001E-4</v>
      </c>
      <c r="F323" s="111" t="s">
        <v>73</v>
      </c>
      <c r="G323" s="112"/>
      <c r="H323" s="19">
        <f>2*I315</f>
        <v>2</v>
      </c>
      <c r="I323" s="53">
        <f>ROUND(0.155*0.617,2)</f>
        <v>0.1</v>
      </c>
      <c r="J323" s="98"/>
    </row>
    <row r="324" spans="2:10" ht="15.75" x14ac:dyDescent="0.25">
      <c r="B324" s="114"/>
      <c r="C324" s="163"/>
      <c r="D324" s="118"/>
      <c r="E324" s="166"/>
      <c r="F324" s="127" t="s">
        <v>53</v>
      </c>
      <c r="G324" s="128"/>
      <c r="H324" s="128"/>
      <c r="I324" s="129"/>
      <c r="J324" s="98"/>
    </row>
    <row r="325" spans="2:10" ht="15.75" x14ac:dyDescent="0.25">
      <c r="B325" s="87">
        <v>315</v>
      </c>
      <c r="C325" s="33" t="s">
        <v>54</v>
      </c>
      <c r="D325" s="86" t="s">
        <v>44</v>
      </c>
      <c r="E325" s="86">
        <f>ROUND((I325*H325)/1000,3)</f>
        <v>3.0000000000000001E-3</v>
      </c>
      <c r="F325" s="121" t="s">
        <v>5</v>
      </c>
      <c r="G325" s="122"/>
      <c r="H325" s="24">
        <f>7*I315</f>
        <v>7</v>
      </c>
      <c r="I325" s="54">
        <f>ROUND(0.16*0.06*0.006*7850,2)</f>
        <v>0.45</v>
      </c>
      <c r="J325" s="98"/>
    </row>
    <row r="326" spans="2:10" ht="15.75" x14ac:dyDescent="0.25">
      <c r="B326" s="81">
        <v>316</v>
      </c>
      <c r="C326" s="62" t="s">
        <v>55</v>
      </c>
      <c r="D326" s="74" t="s">
        <v>44</v>
      </c>
      <c r="E326" s="74">
        <f>ROUND((I326*H326)/1000,3)</f>
        <v>4.0000000000000001E-3</v>
      </c>
      <c r="F326" s="121" t="s">
        <v>4</v>
      </c>
      <c r="G326" s="122"/>
      <c r="H326" s="24">
        <f>4*I315</f>
        <v>4</v>
      </c>
      <c r="I326" s="54">
        <f>ROUND(0.19*0.07*0.01*7850,2)</f>
        <v>1.04</v>
      </c>
      <c r="J326" s="98"/>
    </row>
    <row r="327" spans="2:10" ht="15.75" x14ac:dyDescent="0.25">
      <c r="B327" s="130">
        <v>317</v>
      </c>
      <c r="C327" s="145" t="s">
        <v>116</v>
      </c>
      <c r="D327" s="117" t="s">
        <v>44</v>
      </c>
      <c r="E327" s="117">
        <f>ROUND((I327*H327)/1000,3)</f>
        <v>2E-3</v>
      </c>
      <c r="F327" s="153" t="s">
        <v>91</v>
      </c>
      <c r="G327" s="154"/>
      <c r="H327" s="36">
        <f>0.35*I315</f>
        <v>0.35</v>
      </c>
      <c r="I327" s="68">
        <f>ROUND(6.89*1,2)</f>
        <v>6.89</v>
      </c>
      <c r="J327" s="98">
        <f>0.35*6.89</f>
        <v>2.4114999999999998</v>
      </c>
    </row>
    <row r="328" spans="2:10" ht="33.75" customHeight="1" x14ac:dyDescent="0.25">
      <c r="B328" s="114"/>
      <c r="C328" s="146"/>
      <c r="D328" s="118"/>
      <c r="E328" s="118"/>
      <c r="F328" s="193" t="s">
        <v>121</v>
      </c>
      <c r="G328" s="194"/>
      <c r="H328" s="194"/>
      <c r="I328" s="195"/>
      <c r="J328" s="106"/>
    </row>
    <row r="329" spans="2:10" ht="15.75" x14ac:dyDescent="0.25">
      <c r="B329" s="113">
        <v>318</v>
      </c>
      <c r="C329" s="35" t="s">
        <v>80</v>
      </c>
      <c r="D329" s="86" t="s">
        <v>44</v>
      </c>
      <c r="E329" s="86">
        <f>ROUND((I329*H329)/1000,3)</f>
        <v>8.9999999999999993E-3</v>
      </c>
      <c r="F329" s="152" t="s">
        <v>89</v>
      </c>
      <c r="G329" s="152"/>
      <c r="H329" s="36">
        <f>2.29*I315</f>
        <v>2.29</v>
      </c>
      <c r="I329" s="68">
        <f>ROUND(3.77*1,2)</f>
        <v>3.77</v>
      </c>
      <c r="J329" s="98">
        <f>2.29*3.77</f>
        <v>8.6333000000000002</v>
      </c>
    </row>
    <row r="330" spans="2:10" ht="15.75" x14ac:dyDescent="0.25">
      <c r="B330" s="114"/>
      <c r="C330" s="35" t="s">
        <v>111</v>
      </c>
      <c r="D330" s="86" t="s">
        <v>44</v>
      </c>
      <c r="E330" s="86">
        <f>ROUND((I330*H330)/1000,3)</f>
        <v>2.4E-2</v>
      </c>
      <c r="F330" s="121" t="s">
        <v>72</v>
      </c>
      <c r="G330" s="122"/>
      <c r="H330" s="28">
        <f>0.51*I315</f>
        <v>0.51</v>
      </c>
      <c r="I330" s="67">
        <v>47.1</v>
      </c>
      <c r="J330" s="98">
        <f>0.51*47.1</f>
        <v>24.021000000000001</v>
      </c>
    </row>
    <row r="331" spans="2:10" ht="15.75" x14ac:dyDescent="0.25">
      <c r="B331" s="80">
        <v>319</v>
      </c>
      <c r="C331" s="33" t="s">
        <v>48</v>
      </c>
      <c r="D331" s="86" t="s">
        <v>44</v>
      </c>
      <c r="E331" s="89">
        <f>ROUND((I331*H331)/1000,3)</f>
        <v>2.7E-2</v>
      </c>
      <c r="F331" s="121" t="s">
        <v>56</v>
      </c>
      <c r="G331" s="122"/>
      <c r="H331" s="28">
        <f>8.46*I315</f>
        <v>8.4600000000000009</v>
      </c>
      <c r="I331" s="67">
        <v>3.17</v>
      </c>
      <c r="J331" s="98"/>
    </row>
    <row r="332" spans="2:10" ht="15.75" x14ac:dyDescent="0.25">
      <c r="B332" s="80">
        <v>320</v>
      </c>
      <c r="C332" s="88" t="s">
        <v>59</v>
      </c>
      <c r="D332" s="86" t="s">
        <v>10</v>
      </c>
      <c r="E332" s="86">
        <f>7*I315</f>
        <v>7</v>
      </c>
      <c r="F332" s="133" t="s">
        <v>22</v>
      </c>
      <c r="G332" s="134"/>
      <c r="H332" s="134"/>
      <c r="I332" s="135"/>
      <c r="J332" s="98"/>
    </row>
    <row r="333" spans="2:10" ht="15.75" x14ac:dyDescent="0.25">
      <c r="B333" s="80">
        <v>321</v>
      </c>
      <c r="C333" s="88" t="s">
        <v>57</v>
      </c>
      <c r="D333" s="86" t="s">
        <v>10</v>
      </c>
      <c r="E333" s="86">
        <f>7*I315</f>
        <v>7</v>
      </c>
      <c r="F333" s="143" t="s">
        <v>58</v>
      </c>
      <c r="G333" s="143"/>
      <c r="H333" s="143"/>
      <c r="I333" s="144"/>
      <c r="J333" s="104"/>
    </row>
    <row r="334" spans="2:10" ht="15.75" x14ac:dyDescent="0.25">
      <c r="B334" s="80">
        <v>322</v>
      </c>
      <c r="C334" s="33" t="s">
        <v>60</v>
      </c>
      <c r="D334" s="86" t="s">
        <v>44</v>
      </c>
      <c r="E334" s="89">
        <f>ROUND((H334*I334)/1000,3)</f>
        <v>0.14199999999999999</v>
      </c>
      <c r="F334" s="121" t="s">
        <v>61</v>
      </c>
      <c r="G334" s="122"/>
      <c r="H334" s="22">
        <f>90.09*I315</f>
        <v>90.09</v>
      </c>
      <c r="I334" s="55">
        <f>ROUND(1.578,2)</f>
        <v>1.58</v>
      </c>
      <c r="J334" s="98"/>
    </row>
    <row r="335" spans="2:10" ht="15.75" x14ac:dyDescent="0.25">
      <c r="B335" s="80">
        <v>323</v>
      </c>
      <c r="C335" s="33" t="s">
        <v>62</v>
      </c>
      <c r="D335" s="86" t="s">
        <v>27</v>
      </c>
      <c r="E335" s="86">
        <f>1.58*I315</f>
        <v>1.58</v>
      </c>
      <c r="F335" s="121" t="s">
        <v>21</v>
      </c>
      <c r="G335" s="122"/>
      <c r="H335" s="122"/>
      <c r="I335" s="123"/>
      <c r="J335" s="104"/>
    </row>
    <row r="336" spans="2:10" ht="15.75" x14ac:dyDescent="0.25">
      <c r="B336" s="80">
        <v>324</v>
      </c>
      <c r="C336" s="88" t="s">
        <v>81</v>
      </c>
      <c r="D336" s="86" t="s">
        <v>11</v>
      </c>
      <c r="E336" s="4">
        <f>E335/0.16</f>
        <v>9.875</v>
      </c>
      <c r="F336" s="121" t="s">
        <v>22</v>
      </c>
      <c r="G336" s="122"/>
      <c r="H336" s="122"/>
      <c r="I336" s="123"/>
      <c r="J336" s="104"/>
    </row>
    <row r="337" spans="2:10" ht="17.25" customHeight="1" x14ac:dyDescent="0.25">
      <c r="B337" s="80">
        <v>325</v>
      </c>
      <c r="C337" s="88" t="s">
        <v>90</v>
      </c>
      <c r="D337" s="86" t="s">
        <v>27</v>
      </c>
      <c r="E337" s="92">
        <f>((0.01*(0.35+0.064+0.064)*0.09)+((0.09*0.01*(0.064+0.01+0.064))*2)+((0.01*0.09*0.064)*2))*I315</f>
        <v>7.9379999999999989E-4</v>
      </c>
      <c r="F337" s="124" t="s">
        <v>140</v>
      </c>
      <c r="G337" s="125"/>
      <c r="H337" s="125"/>
      <c r="I337" s="126"/>
      <c r="J337" s="105"/>
    </row>
    <row r="338" spans="2:10" ht="15.75" x14ac:dyDescent="0.25">
      <c r="B338" s="80">
        <v>326</v>
      </c>
      <c r="C338" s="33" t="s">
        <v>46</v>
      </c>
      <c r="D338" s="86" t="s">
        <v>11</v>
      </c>
      <c r="E338" s="4">
        <f>(E316+E325+E326+E327+E329+E330)*24</f>
        <v>7.6080000000000014</v>
      </c>
      <c r="F338" s="133" t="s">
        <v>82</v>
      </c>
      <c r="G338" s="134"/>
      <c r="H338" s="134"/>
      <c r="I338" s="135"/>
      <c r="J338" s="98"/>
    </row>
    <row r="339" spans="2:10" ht="32.25" thickBot="1" x14ac:dyDescent="0.3">
      <c r="B339" s="56">
        <v>327</v>
      </c>
      <c r="C339" s="57" t="s">
        <v>47</v>
      </c>
      <c r="D339" s="58" t="s">
        <v>11</v>
      </c>
      <c r="E339" s="59">
        <f>E338</f>
        <v>7.6080000000000014</v>
      </c>
      <c r="F339" s="136" t="s">
        <v>83</v>
      </c>
      <c r="G339" s="137"/>
      <c r="H339" s="137"/>
      <c r="I339" s="138"/>
      <c r="J339" s="98"/>
    </row>
    <row r="340" spans="2:10" ht="29.25" customHeight="1" thickTop="1" thickBot="1" x14ac:dyDescent="0.3">
      <c r="B340" s="109" t="s">
        <v>122</v>
      </c>
      <c r="C340" s="110"/>
      <c r="D340" s="110"/>
      <c r="E340" s="110"/>
      <c r="F340" s="110"/>
      <c r="G340" s="110"/>
      <c r="H340" s="110"/>
      <c r="I340" s="21">
        <v>1</v>
      </c>
      <c r="J340" s="103"/>
    </row>
    <row r="341" spans="2:10" ht="16.5" thickTop="1" x14ac:dyDescent="0.25">
      <c r="B341" s="82">
        <v>328</v>
      </c>
      <c r="C341" s="79" t="s">
        <v>42</v>
      </c>
      <c r="D341" s="77" t="s">
        <v>44</v>
      </c>
      <c r="E341" s="85">
        <f>ROUND(H341*I341/1000,3)</f>
        <v>0.38800000000000001</v>
      </c>
      <c r="F341" s="151" t="s">
        <v>74</v>
      </c>
      <c r="G341" s="152"/>
      <c r="H341" s="36">
        <f>23.8*I340</f>
        <v>23.8</v>
      </c>
      <c r="I341" s="68">
        <v>16.3</v>
      </c>
      <c r="J341" s="98"/>
    </row>
    <row r="342" spans="2:10" ht="15.75" x14ac:dyDescent="0.25">
      <c r="B342" s="113">
        <v>329</v>
      </c>
      <c r="C342" s="115" t="s">
        <v>49</v>
      </c>
      <c r="D342" s="117" t="s">
        <v>44</v>
      </c>
      <c r="E342" s="119">
        <f>ROUND((I342*H342)/1000,3)</f>
        <v>3.5999999999999997E-2</v>
      </c>
      <c r="F342" s="111" t="s">
        <v>45</v>
      </c>
      <c r="G342" s="112"/>
      <c r="H342" s="19">
        <f>60*I340</f>
        <v>60</v>
      </c>
      <c r="I342" s="53">
        <f>ROUND(0.68*0.888,2)</f>
        <v>0.6</v>
      </c>
      <c r="J342" s="98"/>
    </row>
    <row r="343" spans="2:10" ht="15.75" x14ac:dyDescent="0.25">
      <c r="B343" s="114"/>
      <c r="C343" s="116"/>
      <c r="D343" s="118"/>
      <c r="E343" s="120"/>
      <c r="F343" s="127" t="s">
        <v>50</v>
      </c>
      <c r="G343" s="128"/>
      <c r="H343" s="128"/>
      <c r="I343" s="129"/>
      <c r="J343" s="98"/>
    </row>
    <row r="344" spans="2:10" ht="15.75" x14ac:dyDescent="0.25">
      <c r="B344" s="113">
        <v>330</v>
      </c>
      <c r="C344" s="115" t="s">
        <v>141</v>
      </c>
      <c r="D344" s="131" t="s">
        <v>44</v>
      </c>
      <c r="E344" s="119">
        <f>ROUND((I344*H344)/1000,4)</f>
        <v>1E-3</v>
      </c>
      <c r="F344" s="111" t="s">
        <v>94</v>
      </c>
      <c r="G344" s="112"/>
      <c r="H344" s="19">
        <f>8*I340</f>
        <v>8</v>
      </c>
      <c r="I344" s="53">
        <f>ROUND(0.2*0.617,2)</f>
        <v>0.12</v>
      </c>
      <c r="J344" s="98"/>
    </row>
    <row r="345" spans="2:10" ht="15.75" x14ac:dyDescent="0.25">
      <c r="B345" s="130"/>
      <c r="C345" s="116"/>
      <c r="D345" s="118"/>
      <c r="E345" s="120"/>
      <c r="F345" s="127" t="s">
        <v>109</v>
      </c>
      <c r="G345" s="128"/>
      <c r="H345" s="128"/>
      <c r="I345" s="129"/>
      <c r="J345" s="98"/>
    </row>
    <row r="346" spans="2:10" ht="15.75" x14ac:dyDescent="0.25">
      <c r="B346" s="80">
        <v>331</v>
      </c>
      <c r="C346" s="33" t="s">
        <v>54</v>
      </c>
      <c r="D346" s="86" t="s">
        <v>44</v>
      </c>
      <c r="E346" s="86">
        <f>ROUND(H346*I346/1000,3)</f>
        <v>4.0000000000000001E-3</v>
      </c>
      <c r="F346" s="121" t="s">
        <v>5</v>
      </c>
      <c r="G346" s="122"/>
      <c r="H346" s="24">
        <f>8*I340</f>
        <v>8</v>
      </c>
      <c r="I346" s="54">
        <f>ROUND(0.16*0.06*0.006*7850,2)</f>
        <v>0.45</v>
      </c>
      <c r="J346" s="98"/>
    </row>
    <row r="347" spans="2:10" ht="15.75" x14ac:dyDescent="0.25">
      <c r="B347" s="80">
        <v>332</v>
      </c>
      <c r="C347" s="33" t="s">
        <v>55</v>
      </c>
      <c r="D347" s="86" t="s">
        <v>44</v>
      </c>
      <c r="E347" s="86">
        <f>ROUND((H347*I347)/1000,3)</f>
        <v>1.2E-2</v>
      </c>
      <c r="F347" s="121" t="s">
        <v>75</v>
      </c>
      <c r="G347" s="122"/>
      <c r="H347" s="24">
        <f>10*I340</f>
        <v>10</v>
      </c>
      <c r="I347" s="54">
        <f>ROUND(0.21*0.07*0.01*7850,2)</f>
        <v>1.1499999999999999</v>
      </c>
      <c r="J347" s="98"/>
    </row>
    <row r="348" spans="2:10" ht="15.75" x14ac:dyDescent="0.25">
      <c r="B348" s="80">
        <v>333</v>
      </c>
      <c r="C348" s="33" t="s">
        <v>48</v>
      </c>
      <c r="D348" s="86" t="s">
        <v>44</v>
      </c>
      <c r="E348" s="89">
        <f>ROUND((I348*H348)/1000,3)</f>
        <v>8.0000000000000002E-3</v>
      </c>
      <c r="F348" s="121" t="s">
        <v>56</v>
      </c>
      <c r="G348" s="122"/>
      <c r="H348" s="28">
        <f>2.59*I340</f>
        <v>2.59</v>
      </c>
      <c r="I348" s="67">
        <v>3.17</v>
      </c>
      <c r="J348" s="98"/>
    </row>
    <row r="349" spans="2:10" ht="15.75" x14ac:dyDescent="0.25">
      <c r="B349" s="80">
        <v>334</v>
      </c>
      <c r="C349" s="88" t="s">
        <v>59</v>
      </c>
      <c r="D349" s="86" t="s">
        <v>10</v>
      </c>
      <c r="E349" s="86">
        <f>8*I340</f>
        <v>8</v>
      </c>
      <c r="F349" s="133" t="s">
        <v>22</v>
      </c>
      <c r="G349" s="134"/>
      <c r="H349" s="134"/>
      <c r="I349" s="135"/>
      <c r="J349" s="98"/>
    </row>
    <row r="350" spans="2:10" ht="15.75" x14ac:dyDescent="0.25">
      <c r="B350" s="80">
        <v>335</v>
      </c>
      <c r="C350" s="88" t="s">
        <v>57</v>
      </c>
      <c r="D350" s="86" t="s">
        <v>10</v>
      </c>
      <c r="E350" s="86">
        <f>8*I340</f>
        <v>8</v>
      </c>
      <c r="F350" s="143" t="s">
        <v>58</v>
      </c>
      <c r="G350" s="143"/>
      <c r="H350" s="143"/>
      <c r="I350" s="144"/>
      <c r="J350" s="104"/>
    </row>
    <row r="351" spans="2:10" ht="15.75" x14ac:dyDescent="0.25">
      <c r="B351" s="80">
        <v>336</v>
      </c>
      <c r="C351" s="33" t="s">
        <v>60</v>
      </c>
      <c r="D351" s="86" t="s">
        <v>44</v>
      </c>
      <c r="E351" s="86">
        <f>ROUND((I351*H351)/1000,3)</f>
        <v>4.2000000000000003E-2</v>
      </c>
      <c r="F351" s="121" t="s">
        <v>61</v>
      </c>
      <c r="G351" s="122"/>
      <c r="H351" s="22">
        <f>26.7*I340</f>
        <v>26.7</v>
      </c>
      <c r="I351" s="55">
        <f>ROUND(1.578,2)</f>
        <v>1.58</v>
      </c>
      <c r="J351" s="98"/>
    </row>
    <row r="352" spans="2:10" ht="15.75" x14ac:dyDescent="0.25">
      <c r="B352" s="80">
        <v>337</v>
      </c>
      <c r="C352" s="33" t="s">
        <v>62</v>
      </c>
      <c r="D352" s="86" t="s">
        <v>27</v>
      </c>
      <c r="E352" s="86">
        <f>0.41*I340</f>
        <v>0.41</v>
      </c>
      <c r="F352" s="121" t="s">
        <v>21</v>
      </c>
      <c r="G352" s="122"/>
      <c r="H352" s="122"/>
      <c r="I352" s="123"/>
      <c r="J352" s="104"/>
    </row>
    <row r="353" spans="2:10" ht="15.75" x14ac:dyDescent="0.25">
      <c r="B353" s="80">
        <v>338</v>
      </c>
      <c r="C353" s="88" t="s">
        <v>81</v>
      </c>
      <c r="D353" s="86" t="s">
        <v>11</v>
      </c>
      <c r="E353" s="4">
        <f>E352/0.16</f>
        <v>2.5625</v>
      </c>
      <c r="F353" s="121" t="s">
        <v>22</v>
      </c>
      <c r="G353" s="122"/>
      <c r="H353" s="122"/>
      <c r="I353" s="123"/>
      <c r="J353" s="104"/>
    </row>
    <row r="354" spans="2:10" ht="18" customHeight="1" x14ac:dyDescent="0.25">
      <c r="B354" s="80">
        <v>339</v>
      </c>
      <c r="C354" s="88" t="s">
        <v>90</v>
      </c>
      <c r="D354" s="86" t="s">
        <v>27</v>
      </c>
      <c r="E354" s="92">
        <f>((0.09*0.01*(0.064+0.01+0.064))*4)*I340</f>
        <v>4.9680000000000004E-4</v>
      </c>
      <c r="F354" s="124" t="s">
        <v>140</v>
      </c>
      <c r="G354" s="125"/>
      <c r="H354" s="125"/>
      <c r="I354" s="126"/>
      <c r="J354" s="105"/>
    </row>
    <row r="355" spans="2:10" ht="15.75" x14ac:dyDescent="0.25">
      <c r="B355" s="80">
        <v>340</v>
      </c>
      <c r="C355" s="33" t="s">
        <v>46</v>
      </c>
      <c r="D355" s="86" t="s">
        <v>11</v>
      </c>
      <c r="E355" s="4">
        <f>(E341+E346+E347)*24</f>
        <v>9.6960000000000015</v>
      </c>
      <c r="F355" s="133" t="s">
        <v>82</v>
      </c>
      <c r="G355" s="134"/>
      <c r="H355" s="134"/>
      <c r="I355" s="135"/>
      <c r="J355" s="98"/>
    </row>
    <row r="356" spans="2:10" ht="32.25" thickBot="1" x14ac:dyDescent="0.3">
      <c r="B356" s="56">
        <v>341</v>
      </c>
      <c r="C356" s="57" t="s">
        <v>47</v>
      </c>
      <c r="D356" s="58" t="s">
        <v>11</v>
      </c>
      <c r="E356" s="59">
        <f>E355</f>
        <v>9.6960000000000015</v>
      </c>
      <c r="F356" s="136" t="s">
        <v>83</v>
      </c>
      <c r="G356" s="137"/>
      <c r="H356" s="137"/>
      <c r="I356" s="138"/>
      <c r="J356" s="98"/>
    </row>
    <row r="357" spans="2:10" ht="29.25" customHeight="1" thickTop="1" thickBot="1" x14ac:dyDescent="0.3">
      <c r="B357" s="109" t="s">
        <v>123</v>
      </c>
      <c r="C357" s="110"/>
      <c r="D357" s="110"/>
      <c r="E357" s="110"/>
      <c r="F357" s="110"/>
      <c r="G357" s="110"/>
      <c r="H357" s="110"/>
      <c r="I357" s="21">
        <v>1</v>
      </c>
      <c r="J357" s="103"/>
    </row>
    <row r="358" spans="2:10" ht="16.5" thickTop="1" x14ac:dyDescent="0.25">
      <c r="B358" s="82">
        <v>342</v>
      </c>
      <c r="C358" s="79" t="s">
        <v>42</v>
      </c>
      <c r="D358" s="77" t="s">
        <v>44</v>
      </c>
      <c r="E358" s="85">
        <f>ROUND(H358*I358/1000,3)</f>
        <v>0.38800000000000001</v>
      </c>
      <c r="F358" s="151" t="s">
        <v>74</v>
      </c>
      <c r="G358" s="152"/>
      <c r="H358" s="36">
        <f>23.8*I357</f>
        <v>23.8</v>
      </c>
      <c r="I358" s="68">
        <v>16.3</v>
      </c>
      <c r="J358" s="98"/>
    </row>
    <row r="359" spans="2:10" ht="15.75" x14ac:dyDescent="0.25">
      <c r="B359" s="113">
        <v>343</v>
      </c>
      <c r="C359" s="115" t="s">
        <v>49</v>
      </c>
      <c r="D359" s="117" t="s">
        <v>44</v>
      </c>
      <c r="E359" s="119">
        <f>ROUND((I359*H359)/1000,3)</f>
        <v>3.5999999999999997E-2</v>
      </c>
      <c r="F359" s="111" t="s">
        <v>45</v>
      </c>
      <c r="G359" s="112"/>
      <c r="H359" s="19">
        <f>60*I357</f>
        <v>60</v>
      </c>
      <c r="I359" s="53">
        <f>ROUND(0.68*0.888,2)</f>
        <v>0.6</v>
      </c>
      <c r="J359" s="98"/>
    </row>
    <row r="360" spans="2:10" ht="15.75" x14ac:dyDescent="0.25">
      <c r="B360" s="114"/>
      <c r="C360" s="116"/>
      <c r="D360" s="118"/>
      <c r="E360" s="120"/>
      <c r="F360" s="127" t="s">
        <v>50</v>
      </c>
      <c r="G360" s="128"/>
      <c r="H360" s="128"/>
      <c r="I360" s="129"/>
      <c r="J360" s="98"/>
    </row>
    <row r="361" spans="2:10" ht="15.75" x14ac:dyDescent="0.25">
      <c r="B361" s="113">
        <v>344</v>
      </c>
      <c r="C361" s="115" t="s">
        <v>141</v>
      </c>
      <c r="D361" s="131" t="s">
        <v>44</v>
      </c>
      <c r="E361" s="155">
        <f>ROUND((I361*H361)/1000,4)</f>
        <v>1E-3</v>
      </c>
      <c r="F361" s="111" t="s">
        <v>94</v>
      </c>
      <c r="G361" s="112"/>
      <c r="H361" s="19">
        <f>8*I357</f>
        <v>8</v>
      </c>
      <c r="I361" s="53">
        <f>ROUND(0.2*0.617,2)</f>
        <v>0.12</v>
      </c>
      <c r="J361" s="98"/>
    </row>
    <row r="362" spans="2:10" ht="15.75" x14ac:dyDescent="0.25">
      <c r="B362" s="130"/>
      <c r="C362" s="116"/>
      <c r="D362" s="118"/>
      <c r="E362" s="166"/>
      <c r="F362" s="127" t="s">
        <v>109</v>
      </c>
      <c r="G362" s="128"/>
      <c r="H362" s="128"/>
      <c r="I362" s="129"/>
      <c r="J362" s="98"/>
    </row>
    <row r="363" spans="2:10" ht="15.75" x14ac:dyDescent="0.25">
      <c r="B363" s="80">
        <v>345</v>
      </c>
      <c r="C363" s="33" t="s">
        <v>54</v>
      </c>
      <c r="D363" s="86" t="s">
        <v>44</v>
      </c>
      <c r="E363" s="86">
        <f>ROUND(H363*I363/1000,3)</f>
        <v>4.0000000000000001E-3</v>
      </c>
      <c r="F363" s="121" t="s">
        <v>5</v>
      </c>
      <c r="G363" s="122"/>
      <c r="H363" s="24">
        <f>8*I357</f>
        <v>8</v>
      </c>
      <c r="I363" s="54">
        <f>ROUND(0.16*0.06*0.006*7850,2)</f>
        <v>0.45</v>
      </c>
      <c r="J363" s="98"/>
    </row>
    <row r="364" spans="2:10" ht="15.75" x14ac:dyDescent="0.25">
      <c r="B364" s="80">
        <v>346</v>
      </c>
      <c r="C364" s="33" t="s">
        <v>55</v>
      </c>
      <c r="D364" s="86" t="s">
        <v>44</v>
      </c>
      <c r="E364" s="86">
        <f>ROUND((H364*I364)/1000,3)</f>
        <v>1.2E-2</v>
      </c>
      <c r="F364" s="121" t="s">
        <v>75</v>
      </c>
      <c r="G364" s="122"/>
      <c r="H364" s="24">
        <f>10*I357</f>
        <v>10</v>
      </c>
      <c r="I364" s="54">
        <f>ROUND(0.21*0.07*0.01*7850,2)</f>
        <v>1.1499999999999999</v>
      </c>
      <c r="J364" s="98"/>
    </row>
    <row r="365" spans="2:10" ht="15.75" x14ac:dyDescent="0.25">
      <c r="B365" s="80">
        <v>347</v>
      </c>
      <c r="C365" s="33" t="s">
        <v>48</v>
      </c>
      <c r="D365" s="86" t="s">
        <v>44</v>
      </c>
      <c r="E365" s="89">
        <f>ROUND((I365*H365)/1000,3)</f>
        <v>8.0000000000000002E-3</v>
      </c>
      <c r="F365" s="121" t="s">
        <v>56</v>
      </c>
      <c r="G365" s="122"/>
      <c r="H365" s="28">
        <f>2.59*I357</f>
        <v>2.59</v>
      </c>
      <c r="I365" s="67">
        <v>3.17</v>
      </c>
      <c r="J365" s="98"/>
    </row>
    <row r="366" spans="2:10" ht="15.75" x14ac:dyDescent="0.25">
      <c r="B366" s="80">
        <v>348</v>
      </c>
      <c r="C366" s="88" t="s">
        <v>59</v>
      </c>
      <c r="D366" s="86" t="s">
        <v>10</v>
      </c>
      <c r="E366" s="86">
        <f>8*I357</f>
        <v>8</v>
      </c>
      <c r="F366" s="133" t="s">
        <v>22</v>
      </c>
      <c r="G366" s="134"/>
      <c r="H366" s="134"/>
      <c r="I366" s="135"/>
      <c r="J366" s="98"/>
    </row>
    <row r="367" spans="2:10" ht="15.75" x14ac:dyDescent="0.25">
      <c r="B367" s="80">
        <v>349</v>
      </c>
      <c r="C367" s="88" t="s">
        <v>57</v>
      </c>
      <c r="D367" s="86" t="s">
        <v>10</v>
      </c>
      <c r="E367" s="86">
        <f>8*I357</f>
        <v>8</v>
      </c>
      <c r="F367" s="143" t="s">
        <v>58</v>
      </c>
      <c r="G367" s="143"/>
      <c r="H367" s="143"/>
      <c r="I367" s="144"/>
      <c r="J367" s="104"/>
    </row>
    <row r="368" spans="2:10" ht="15.75" x14ac:dyDescent="0.25">
      <c r="B368" s="80">
        <v>350</v>
      </c>
      <c r="C368" s="33" t="s">
        <v>60</v>
      </c>
      <c r="D368" s="86" t="s">
        <v>44</v>
      </c>
      <c r="E368" s="86">
        <f>ROUND((I368*H368)/1000,3)</f>
        <v>4.2000000000000003E-2</v>
      </c>
      <c r="F368" s="121" t="s">
        <v>61</v>
      </c>
      <c r="G368" s="122"/>
      <c r="H368" s="22">
        <f>26.7*I357</f>
        <v>26.7</v>
      </c>
      <c r="I368" s="55">
        <f>ROUND(1.578,2)</f>
        <v>1.58</v>
      </c>
      <c r="J368" s="98"/>
    </row>
    <row r="369" spans="2:10" ht="15.75" x14ac:dyDescent="0.25">
      <c r="B369" s="80">
        <v>351</v>
      </c>
      <c r="C369" s="33" t="s">
        <v>62</v>
      </c>
      <c r="D369" s="86" t="s">
        <v>27</v>
      </c>
      <c r="E369" s="86">
        <f>0.41*I357</f>
        <v>0.41</v>
      </c>
      <c r="F369" s="121" t="s">
        <v>21</v>
      </c>
      <c r="G369" s="122"/>
      <c r="H369" s="122"/>
      <c r="I369" s="123"/>
      <c r="J369" s="104"/>
    </row>
    <row r="370" spans="2:10" ht="15.75" x14ac:dyDescent="0.25">
      <c r="B370" s="80">
        <v>352</v>
      </c>
      <c r="C370" s="88" t="s">
        <v>81</v>
      </c>
      <c r="D370" s="86" t="s">
        <v>11</v>
      </c>
      <c r="E370" s="4">
        <f>E369/0.16</f>
        <v>2.5625</v>
      </c>
      <c r="F370" s="121" t="s">
        <v>22</v>
      </c>
      <c r="G370" s="122"/>
      <c r="H370" s="122"/>
      <c r="I370" s="123"/>
      <c r="J370" s="104"/>
    </row>
    <row r="371" spans="2:10" ht="20.25" customHeight="1" x14ac:dyDescent="0.25">
      <c r="B371" s="80">
        <v>353</v>
      </c>
      <c r="C371" s="88" t="s">
        <v>90</v>
      </c>
      <c r="D371" s="86" t="s">
        <v>27</v>
      </c>
      <c r="E371" s="92">
        <f>((0.09*0.01*(0.064+0.01+0.064))*4)*I357</f>
        <v>4.9680000000000004E-4</v>
      </c>
      <c r="F371" s="124" t="s">
        <v>139</v>
      </c>
      <c r="G371" s="125"/>
      <c r="H371" s="125"/>
      <c r="I371" s="126"/>
      <c r="J371" s="105"/>
    </row>
    <row r="372" spans="2:10" ht="15.75" x14ac:dyDescent="0.25">
      <c r="B372" s="80">
        <v>354</v>
      </c>
      <c r="C372" s="33" t="s">
        <v>46</v>
      </c>
      <c r="D372" s="86" t="s">
        <v>11</v>
      </c>
      <c r="E372" s="4">
        <f>(E358+E363+E364)*24</f>
        <v>9.6960000000000015</v>
      </c>
      <c r="F372" s="133" t="s">
        <v>82</v>
      </c>
      <c r="G372" s="134"/>
      <c r="H372" s="134"/>
      <c r="I372" s="135"/>
      <c r="J372" s="98"/>
    </row>
    <row r="373" spans="2:10" ht="32.25" thickBot="1" x14ac:dyDescent="0.3">
      <c r="B373" s="80">
        <v>355</v>
      </c>
      <c r="C373" s="88" t="s">
        <v>47</v>
      </c>
      <c r="D373" s="86" t="s">
        <v>11</v>
      </c>
      <c r="E373" s="4">
        <f>E372</f>
        <v>9.6960000000000015</v>
      </c>
      <c r="F373" s="136" t="s">
        <v>83</v>
      </c>
      <c r="G373" s="137"/>
      <c r="H373" s="137"/>
      <c r="I373" s="138"/>
      <c r="J373" s="98"/>
    </row>
    <row r="374" spans="2:10" ht="31.5" customHeight="1" thickTop="1" thickBot="1" x14ac:dyDescent="0.3">
      <c r="B374" s="109" t="s">
        <v>124</v>
      </c>
      <c r="C374" s="110"/>
      <c r="D374" s="110"/>
      <c r="E374" s="110"/>
      <c r="F374" s="110"/>
      <c r="G374" s="110"/>
      <c r="H374" s="110"/>
      <c r="I374" s="21">
        <v>1</v>
      </c>
      <c r="J374" s="103"/>
    </row>
    <row r="375" spans="2:10" ht="16.5" thickTop="1" x14ac:dyDescent="0.25">
      <c r="B375" s="82">
        <v>356</v>
      </c>
      <c r="C375" s="79" t="s">
        <v>42</v>
      </c>
      <c r="D375" s="77" t="s">
        <v>44</v>
      </c>
      <c r="E375" s="85">
        <f>ROUND(H375*I375/1000,3)</f>
        <v>0.25900000000000001</v>
      </c>
      <c r="F375" s="151" t="s">
        <v>51</v>
      </c>
      <c r="G375" s="152"/>
      <c r="H375" s="36">
        <f>18.25*I374</f>
        <v>18.25</v>
      </c>
      <c r="I375" s="68">
        <v>14.2</v>
      </c>
      <c r="J375" s="98"/>
    </row>
    <row r="376" spans="2:10" ht="15.75" x14ac:dyDescent="0.25">
      <c r="B376" s="113">
        <v>357</v>
      </c>
      <c r="C376" s="115" t="s">
        <v>49</v>
      </c>
      <c r="D376" s="117" t="s">
        <v>44</v>
      </c>
      <c r="E376" s="119">
        <f>ROUND((I376*H376)/1000,3)</f>
        <v>3.1E-2</v>
      </c>
      <c r="F376" s="111" t="s">
        <v>45</v>
      </c>
      <c r="G376" s="112"/>
      <c r="H376" s="19">
        <f>52*I374</f>
        <v>52</v>
      </c>
      <c r="I376" s="53">
        <f>ROUND(0.68*0.888,2)</f>
        <v>0.6</v>
      </c>
      <c r="J376" s="98"/>
    </row>
    <row r="377" spans="2:10" ht="15.75" x14ac:dyDescent="0.25">
      <c r="B377" s="114"/>
      <c r="C377" s="116"/>
      <c r="D377" s="118"/>
      <c r="E377" s="120"/>
      <c r="F377" s="127" t="s">
        <v>50</v>
      </c>
      <c r="G377" s="128"/>
      <c r="H377" s="128"/>
      <c r="I377" s="129"/>
      <c r="J377" s="98"/>
    </row>
    <row r="378" spans="2:10" ht="15.75" x14ac:dyDescent="0.25">
      <c r="B378" s="113">
        <v>358</v>
      </c>
      <c r="C378" s="115" t="s">
        <v>141</v>
      </c>
      <c r="D378" s="131" t="s">
        <v>44</v>
      </c>
      <c r="E378" s="119">
        <f>ROUND((I378*H378)/1000,4)</f>
        <v>6.9999999999999999E-4</v>
      </c>
      <c r="F378" s="111" t="s">
        <v>94</v>
      </c>
      <c r="G378" s="112"/>
      <c r="H378" s="19">
        <f>6*I374</f>
        <v>6</v>
      </c>
      <c r="I378" s="53">
        <f>ROUND(0.2*0.617,2)</f>
        <v>0.12</v>
      </c>
      <c r="J378" s="98"/>
    </row>
    <row r="379" spans="2:10" ht="15.75" x14ac:dyDescent="0.25">
      <c r="B379" s="130"/>
      <c r="C379" s="116"/>
      <c r="D379" s="118"/>
      <c r="E379" s="120"/>
      <c r="F379" s="127" t="s">
        <v>109</v>
      </c>
      <c r="G379" s="128"/>
      <c r="H379" s="128"/>
      <c r="I379" s="129"/>
      <c r="J379" s="98"/>
    </row>
    <row r="380" spans="2:10" ht="15.75" x14ac:dyDescent="0.25">
      <c r="B380" s="113">
        <v>359</v>
      </c>
      <c r="C380" s="115" t="s">
        <v>138</v>
      </c>
      <c r="D380" s="117" t="s">
        <v>44</v>
      </c>
      <c r="E380" s="155">
        <f>ROUND((H380*I380)/1000,4)</f>
        <v>4.0000000000000002E-4</v>
      </c>
      <c r="F380" s="111" t="s">
        <v>73</v>
      </c>
      <c r="G380" s="112"/>
      <c r="H380" s="19">
        <f>4*I374</f>
        <v>4</v>
      </c>
      <c r="I380" s="53">
        <f>ROUND(0.155*0.617,2)</f>
        <v>0.1</v>
      </c>
      <c r="J380" s="98"/>
    </row>
    <row r="381" spans="2:10" ht="15.75" x14ac:dyDescent="0.25">
      <c r="B381" s="114"/>
      <c r="C381" s="163"/>
      <c r="D381" s="118"/>
      <c r="E381" s="166"/>
      <c r="F381" s="151" t="s">
        <v>53</v>
      </c>
      <c r="G381" s="152"/>
      <c r="H381" s="152"/>
      <c r="I381" s="185"/>
      <c r="J381" s="98"/>
    </row>
    <row r="382" spans="2:10" ht="15.75" x14ac:dyDescent="0.25">
      <c r="B382" s="113">
        <v>360</v>
      </c>
      <c r="C382" s="145" t="s">
        <v>54</v>
      </c>
      <c r="D382" s="117" t="s">
        <v>44</v>
      </c>
      <c r="E382" s="189">
        <f>ROUND(H382*I382/1000,3)+ROUND((H383*I383)/1000,4)</f>
        <v>2.5000000000000001E-3</v>
      </c>
      <c r="F382" s="141" t="s">
        <v>5</v>
      </c>
      <c r="G382" s="142"/>
      <c r="H382" s="19">
        <f>5*I374</f>
        <v>5</v>
      </c>
      <c r="I382" s="53">
        <f>ROUND(0.16*0.06*0.006*7850,2)</f>
        <v>0.45</v>
      </c>
      <c r="J382" s="98"/>
    </row>
    <row r="383" spans="2:10" ht="15.75" x14ac:dyDescent="0.25">
      <c r="B383" s="114"/>
      <c r="C383" s="146"/>
      <c r="D383" s="118"/>
      <c r="E383" s="190"/>
      <c r="F383" s="139" t="s">
        <v>92</v>
      </c>
      <c r="G383" s="140"/>
      <c r="H383" s="30">
        <f>0.12*I374</f>
        <v>0.12</v>
      </c>
      <c r="I383" s="61">
        <f>ROUND(3.77*1,2)</f>
        <v>3.77</v>
      </c>
      <c r="J383" s="98">
        <f>0.12*3.77</f>
        <v>0.45239999999999997</v>
      </c>
    </row>
    <row r="384" spans="2:10" ht="15.75" x14ac:dyDescent="0.25">
      <c r="B384" s="80">
        <v>361</v>
      </c>
      <c r="C384" s="33" t="s">
        <v>55</v>
      </c>
      <c r="D384" s="86" t="s">
        <v>44</v>
      </c>
      <c r="E384" s="86">
        <f>ROUND((H384*I384)/1000,3)</f>
        <v>8.0000000000000002E-3</v>
      </c>
      <c r="F384" s="139" t="s">
        <v>4</v>
      </c>
      <c r="G384" s="140"/>
      <c r="H384" s="42">
        <f>8*I374</f>
        <v>8</v>
      </c>
      <c r="I384" s="64">
        <f>ROUND(0.19*0.07*0.01*7850,2)</f>
        <v>1.04</v>
      </c>
      <c r="J384" s="98"/>
    </row>
    <row r="385" spans="2:10" ht="15.75" x14ac:dyDescent="0.25">
      <c r="B385" s="80">
        <v>362</v>
      </c>
      <c r="C385" s="35" t="s">
        <v>80</v>
      </c>
      <c r="D385" s="86" t="s">
        <v>44</v>
      </c>
      <c r="E385" s="86">
        <f>ROUND((I385*H385)/1000,3)</f>
        <v>6.0000000000000001E-3</v>
      </c>
      <c r="F385" s="121" t="s">
        <v>72</v>
      </c>
      <c r="G385" s="122"/>
      <c r="H385" s="28">
        <f>0.12*I374</f>
        <v>0.12</v>
      </c>
      <c r="I385" s="67">
        <v>47.1</v>
      </c>
      <c r="J385" s="98">
        <f>0.12*47.1</f>
        <v>5.6520000000000001</v>
      </c>
    </row>
    <row r="386" spans="2:10" ht="15.75" x14ac:dyDescent="0.25">
      <c r="B386" s="80">
        <v>363</v>
      </c>
      <c r="C386" s="33" t="s">
        <v>48</v>
      </c>
      <c r="D386" s="86" t="s">
        <v>44</v>
      </c>
      <c r="E386" s="89">
        <f>ROUND((I386*H386)/1000,3)</f>
        <v>1.4E-2</v>
      </c>
      <c r="F386" s="121" t="s">
        <v>56</v>
      </c>
      <c r="G386" s="122"/>
      <c r="H386" s="28">
        <f>4.38*I374</f>
        <v>4.38</v>
      </c>
      <c r="I386" s="67">
        <v>3.17</v>
      </c>
      <c r="J386" s="98"/>
    </row>
    <row r="387" spans="2:10" ht="15.75" x14ac:dyDescent="0.25">
      <c r="B387" s="80">
        <v>364</v>
      </c>
      <c r="C387" s="88" t="s">
        <v>59</v>
      </c>
      <c r="D387" s="86" t="s">
        <v>10</v>
      </c>
      <c r="E387" s="86">
        <f>5*I374</f>
        <v>5</v>
      </c>
      <c r="F387" s="133" t="s">
        <v>22</v>
      </c>
      <c r="G387" s="134"/>
      <c r="H387" s="134"/>
      <c r="I387" s="135"/>
      <c r="J387" s="98"/>
    </row>
    <row r="388" spans="2:10" ht="15.75" x14ac:dyDescent="0.25">
      <c r="B388" s="80">
        <v>365</v>
      </c>
      <c r="C388" s="88" t="s">
        <v>57</v>
      </c>
      <c r="D388" s="86" t="s">
        <v>10</v>
      </c>
      <c r="E388" s="86">
        <f>5*I374</f>
        <v>5</v>
      </c>
      <c r="F388" s="143" t="s">
        <v>58</v>
      </c>
      <c r="G388" s="143"/>
      <c r="H388" s="143"/>
      <c r="I388" s="144"/>
      <c r="J388" s="104"/>
    </row>
    <row r="389" spans="2:10" ht="15.75" x14ac:dyDescent="0.25">
      <c r="B389" s="80">
        <v>366</v>
      </c>
      <c r="C389" s="33" t="s">
        <v>60</v>
      </c>
      <c r="D389" s="86" t="s">
        <v>44</v>
      </c>
      <c r="E389" s="86">
        <f>ROUND((I389*H389)/1000,3)</f>
        <v>7.4999999999999997E-2</v>
      </c>
      <c r="F389" s="121" t="s">
        <v>61</v>
      </c>
      <c r="G389" s="122"/>
      <c r="H389" s="22">
        <f>47.74*I374</f>
        <v>47.74</v>
      </c>
      <c r="I389" s="55">
        <f>ROUND(1.578,2)</f>
        <v>1.58</v>
      </c>
      <c r="J389" s="98"/>
    </row>
    <row r="390" spans="2:10" ht="15.75" x14ac:dyDescent="0.25">
      <c r="B390" s="80">
        <v>367</v>
      </c>
      <c r="C390" s="33" t="s">
        <v>62</v>
      </c>
      <c r="D390" s="86" t="s">
        <v>27</v>
      </c>
      <c r="E390" s="86">
        <f>0.79*I374</f>
        <v>0.79</v>
      </c>
      <c r="F390" s="121" t="s">
        <v>21</v>
      </c>
      <c r="G390" s="122"/>
      <c r="H390" s="122"/>
      <c r="I390" s="123"/>
      <c r="J390" s="104"/>
    </row>
    <row r="391" spans="2:10" ht="15.75" x14ac:dyDescent="0.25">
      <c r="B391" s="80">
        <v>368</v>
      </c>
      <c r="C391" s="88" t="s">
        <v>81</v>
      </c>
      <c r="D391" s="86" t="s">
        <v>11</v>
      </c>
      <c r="E391" s="4">
        <f>E390/0.16</f>
        <v>4.9375</v>
      </c>
      <c r="F391" s="121" t="s">
        <v>22</v>
      </c>
      <c r="G391" s="122"/>
      <c r="H391" s="122"/>
      <c r="I391" s="123"/>
      <c r="J391" s="104"/>
    </row>
    <row r="392" spans="2:10" ht="21" customHeight="1" x14ac:dyDescent="0.25">
      <c r="B392" s="80">
        <v>369</v>
      </c>
      <c r="C392" s="88" t="s">
        <v>90</v>
      </c>
      <c r="D392" s="86" t="s">
        <v>27</v>
      </c>
      <c r="E392" s="92">
        <f>(((0.09*0.01*(0.064+0.01+0.064))*2)+(0.09*0.01*(1.04+0.32)))*I374</f>
        <v>1.4724E-3</v>
      </c>
      <c r="F392" s="124" t="s">
        <v>140</v>
      </c>
      <c r="G392" s="125"/>
      <c r="H392" s="125"/>
      <c r="I392" s="126"/>
      <c r="J392" s="105"/>
    </row>
    <row r="393" spans="2:10" ht="15.75" x14ac:dyDescent="0.25">
      <c r="B393" s="80">
        <v>370</v>
      </c>
      <c r="C393" s="33" t="s">
        <v>46</v>
      </c>
      <c r="D393" s="86" t="s">
        <v>11</v>
      </c>
      <c r="E393" s="4">
        <f>(E375+E382+E384+E385)*24</f>
        <v>6.6120000000000001</v>
      </c>
      <c r="F393" s="133" t="s">
        <v>82</v>
      </c>
      <c r="G393" s="134"/>
      <c r="H393" s="134"/>
      <c r="I393" s="135"/>
      <c r="J393" s="98"/>
    </row>
    <row r="394" spans="2:10" ht="32.25" thickBot="1" x14ac:dyDescent="0.3">
      <c r="B394" s="80">
        <v>371</v>
      </c>
      <c r="C394" s="88" t="s">
        <v>47</v>
      </c>
      <c r="D394" s="86" t="s">
        <v>11</v>
      </c>
      <c r="E394" s="4">
        <f>E393</f>
        <v>6.6120000000000001</v>
      </c>
      <c r="F394" s="136" t="s">
        <v>83</v>
      </c>
      <c r="G394" s="137"/>
      <c r="H394" s="137"/>
      <c r="I394" s="138"/>
      <c r="J394" s="98"/>
    </row>
    <row r="395" spans="2:10" ht="31.5" customHeight="1" thickTop="1" thickBot="1" x14ac:dyDescent="0.3">
      <c r="B395" s="109" t="s">
        <v>93</v>
      </c>
      <c r="C395" s="110"/>
      <c r="D395" s="110"/>
      <c r="E395" s="110"/>
      <c r="F395" s="110"/>
      <c r="G395" s="110"/>
      <c r="H395" s="110"/>
      <c r="I395" s="21">
        <v>1</v>
      </c>
      <c r="J395" s="103"/>
    </row>
    <row r="396" spans="2:10" ht="16.5" thickTop="1" x14ac:dyDescent="0.25">
      <c r="B396" s="82">
        <v>372</v>
      </c>
      <c r="C396" s="79" t="s">
        <v>42</v>
      </c>
      <c r="D396" s="77" t="s">
        <v>44</v>
      </c>
      <c r="E396" s="85">
        <f>ROUND(H396*I396/1000,3)</f>
        <v>0.53300000000000003</v>
      </c>
      <c r="F396" s="151" t="s">
        <v>74</v>
      </c>
      <c r="G396" s="152"/>
      <c r="H396" s="36">
        <f>32.73*I395</f>
        <v>32.729999999999997</v>
      </c>
      <c r="I396" s="68">
        <v>16.3</v>
      </c>
      <c r="J396" s="98"/>
    </row>
    <row r="397" spans="2:10" ht="15.75" x14ac:dyDescent="0.25">
      <c r="B397" s="113">
        <v>373</v>
      </c>
      <c r="C397" s="115" t="s">
        <v>49</v>
      </c>
      <c r="D397" s="117" t="s">
        <v>44</v>
      </c>
      <c r="E397" s="119">
        <f>ROUND((I397*H397)/1000,3)</f>
        <v>7.3999999999999996E-2</v>
      </c>
      <c r="F397" s="111" t="s">
        <v>45</v>
      </c>
      <c r="G397" s="112"/>
      <c r="H397" s="19">
        <f>124*I395</f>
        <v>124</v>
      </c>
      <c r="I397" s="53">
        <f>ROUND(0.68*0.888,2)</f>
        <v>0.6</v>
      </c>
      <c r="J397" s="98"/>
    </row>
    <row r="398" spans="2:10" ht="15.75" x14ac:dyDescent="0.25">
      <c r="B398" s="114"/>
      <c r="C398" s="116"/>
      <c r="D398" s="118"/>
      <c r="E398" s="120"/>
      <c r="F398" s="127" t="s">
        <v>50</v>
      </c>
      <c r="G398" s="128"/>
      <c r="H398" s="128"/>
      <c r="I398" s="129"/>
      <c r="J398" s="98"/>
    </row>
    <row r="399" spans="2:10" ht="15.75" x14ac:dyDescent="0.25">
      <c r="B399" s="113">
        <v>374</v>
      </c>
      <c r="C399" s="115" t="s">
        <v>68</v>
      </c>
      <c r="D399" s="131" t="s">
        <v>44</v>
      </c>
      <c r="E399" s="132">
        <f>ROUND((I399*H399)/1000,3)</f>
        <v>1E-3</v>
      </c>
      <c r="F399" s="111" t="s">
        <v>52</v>
      </c>
      <c r="G399" s="112"/>
      <c r="H399" s="19">
        <f>2*I395</f>
        <v>2</v>
      </c>
      <c r="I399" s="53">
        <f>ROUND(0.55*0.617,2)</f>
        <v>0.34</v>
      </c>
      <c r="J399" s="98"/>
    </row>
    <row r="400" spans="2:10" ht="15.75" x14ac:dyDescent="0.25">
      <c r="B400" s="114"/>
      <c r="C400" s="116"/>
      <c r="D400" s="118"/>
      <c r="E400" s="120"/>
      <c r="F400" s="127" t="s">
        <v>53</v>
      </c>
      <c r="G400" s="128"/>
      <c r="H400" s="128"/>
      <c r="I400" s="129"/>
      <c r="J400" s="98"/>
    </row>
    <row r="401" spans="2:10" ht="15.75" x14ac:dyDescent="0.25">
      <c r="B401" s="113">
        <v>375</v>
      </c>
      <c r="C401" s="115" t="s">
        <v>141</v>
      </c>
      <c r="D401" s="131" t="s">
        <v>44</v>
      </c>
      <c r="E401" s="155">
        <f>ROUND((I401*H401)/1000,4)</f>
        <v>2.0000000000000001E-4</v>
      </c>
      <c r="F401" s="111" t="s">
        <v>94</v>
      </c>
      <c r="G401" s="112"/>
      <c r="H401" s="19">
        <f>2*I395</f>
        <v>2</v>
      </c>
      <c r="I401" s="53">
        <f>ROUND(0.2*0.617,2)</f>
        <v>0.12</v>
      </c>
      <c r="J401" s="98"/>
    </row>
    <row r="402" spans="2:10" ht="15.75" x14ac:dyDescent="0.25">
      <c r="B402" s="130"/>
      <c r="C402" s="116"/>
      <c r="D402" s="118"/>
      <c r="E402" s="166"/>
      <c r="F402" s="127" t="s">
        <v>109</v>
      </c>
      <c r="G402" s="128"/>
      <c r="H402" s="128"/>
      <c r="I402" s="129"/>
      <c r="J402" s="98"/>
    </row>
    <row r="403" spans="2:10" ht="15.75" x14ac:dyDescent="0.25">
      <c r="B403" s="80">
        <v>376</v>
      </c>
      <c r="C403" s="33" t="s">
        <v>54</v>
      </c>
      <c r="D403" s="86" t="s">
        <v>44</v>
      </c>
      <c r="E403" s="86">
        <f>ROUND(H403*I403/1000,3)</f>
        <v>3.0000000000000001E-3</v>
      </c>
      <c r="F403" s="121" t="s">
        <v>5</v>
      </c>
      <c r="G403" s="122"/>
      <c r="H403" s="24">
        <f>7*I395</f>
        <v>7</v>
      </c>
      <c r="I403" s="54">
        <f>ROUND(0.16*0.06*0.006*7850,2)</f>
        <v>0.45</v>
      </c>
      <c r="J403" s="98"/>
    </row>
    <row r="404" spans="2:10" ht="15.75" x14ac:dyDescent="0.25">
      <c r="B404" s="80">
        <v>377</v>
      </c>
      <c r="C404" s="33" t="s">
        <v>55</v>
      </c>
      <c r="D404" s="86" t="s">
        <v>44</v>
      </c>
      <c r="E404" s="86">
        <f>ROUND((H404*I404)/1000,3)</f>
        <v>1.2E-2</v>
      </c>
      <c r="F404" s="121" t="s">
        <v>75</v>
      </c>
      <c r="G404" s="122"/>
      <c r="H404" s="24">
        <f>10*I395</f>
        <v>10</v>
      </c>
      <c r="I404" s="54">
        <f>ROUND(0.21*0.07*0.01*7850,2)</f>
        <v>1.1499999999999999</v>
      </c>
      <c r="J404" s="98"/>
    </row>
    <row r="405" spans="2:10" ht="15.75" x14ac:dyDescent="0.25">
      <c r="B405" s="80">
        <v>378</v>
      </c>
      <c r="C405" s="33" t="s">
        <v>80</v>
      </c>
      <c r="D405" s="86" t="s">
        <v>44</v>
      </c>
      <c r="E405" s="45">
        <f>ROUND(H405*I405/100,3)</f>
        <v>0.19800000000000001</v>
      </c>
      <c r="F405" s="133" t="s">
        <v>89</v>
      </c>
      <c r="G405" s="134"/>
      <c r="H405" s="22">
        <f>5.25*I395</f>
        <v>5.25</v>
      </c>
      <c r="I405" s="55">
        <f>ROUND(3.77*1,2)</f>
        <v>3.77</v>
      </c>
      <c r="J405" s="98">
        <f>5.25*3.77</f>
        <v>19.7925</v>
      </c>
    </row>
    <row r="406" spans="2:10" ht="15.75" x14ac:dyDescent="0.25">
      <c r="B406" s="80">
        <v>379</v>
      </c>
      <c r="C406" s="33" t="s">
        <v>111</v>
      </c>
      <c r="D406" s="86" t="s">
        <v>44</v>
      </c>
      <c r="E406" s="86">
        <f>ROUND(H406*I406/1000,3)</f>
        <v>2.4E-2</v>
      </c>
      <c r="F406" s="121" t="s">
        <v>72</v>
      </c>
      <c r="G406" s="122"/>
      <c r="H406" s="28">
        <f>0.52*I395</f>
        <v>0.52</v>
      </c>
      <c r="I406" s="67">
        <v>47.1</v>
      </c>
      <c r="J406" s="98">
        <f>0.52*47.1</f>
        <v>24.492000000000001</v>
      </c>
    </row>
    <row r="407" spans="2:10" ht="15.75" x14ac:dyDescent="0.25">
      <c r="B407" s="80">
        <v>380</v>
      </c>
      <c r="C407" s="33" t="s">
        <v>48</v>
      </c>
      <c r="D407" s="86" t="s">
        <v>44</v>
      </c>
      <c r="E407" s="89">
        <f>ROUND((I407*H407)/1000,3)</f>
        <v>3.7999999999999999E-2</v>
      </c>
      <c r="F407" s="121" t="s">
        <v>56</v>
      </c>
      <c r="G407" s="122"/>
      <c r="H407" s="28">
        <f>12.13*I395</f>
        <v>12.13</v>
      </c>
      <c r="I407" s="67">
        <v>3.17</v>
      </c>
      <c r="J407" s="98"/>
    </row>
    <row r="408" spans="2:10" ht="15.75" x14ac:dyDescent="0.25">
      <c r="B408" s="80">
        <v>381</v>
      </c>
      <c r="C408" s="88" t="s">
        <v>59</v>
      </c>
      <c r="D408" s="86" t="s">
        <v>10</v>
      </c>
      <c r="E408" s="86">
        <f>7*I395</f>
        <v>7</v>
      </c>
      <c r="F408" s="133" t="s">
        <v>22</v>
      </c>
      <c r="G408" s="134"/>
      <c r="H408" s="134"/>
      <c r="I408" s="135"/>
      <c r="J408" s="98"/>
    </row>
    <row r="409" spans="2:10" ht="15.75" x14ac:dyDescent="0.25">
      <c r="B409" s="80">
        <v>382</v>
      </c>
      <c r="C409" s="88" t="s">
        <v>57</v>
      </c>
      <c r="D409" s="86" t="s">
        <v>10</v>
      </c>
      <c r="E409" s="86">
        <f>7*I395</f>
        <v>7</v>
      </c>
      <c r="F409" s="143" t="s">
        <v>58</v>
      </c>
      <c r="G409" s="143"/>
      <c r="H409" s="143"/>
      <c r="I409" s="144"/>
      <c r="J409" s="104"/>
    </row>
    <row r="410" spans="2:10" ht="15.75" x14ac:dyDescent="0.25">
      <c r="B410" s="80">
        <v>383</v>
      </c>
      <c r="C410" s="33" t="s">
        <v>60</v>
      </c>
      <c r="D410" s="86" t="s">
        <v>44</v>
      </c>
      <c r="E410" s="86">
        <f>ROUND((I410*H410)/1000,3)</f>
        <v>0.19900000000000001</v>
      </c>
      <c r="F410" s="121" t="s">
        <v>61</v>
      </c>
      <c r="G410" s="122"/>
      <c r="H410" s="22">
        <f>126.2*I395</f>
        <v>126.2</v>
      </c>
      <c r="I410" s="55">
        <f>ROUND(1.578,2)</f>
        <v>1.58</v>
      </c>
      <c r="J410" s="98"/>
    </row>
    <row r="411" spans="2:10" ht="15.75" x14ac:dyDescent="0.25">
      <c r="B411" s="80">
        <v>384</v>
      </c>
      <c r="C411" s="33" t="s">
        <v>62</v>
      </c>
      <c r="D411" s="86" t="s">
        <v>27</v>
      </c>
      <c r="E411" s="86">
        <f>2.02*I395</f>
        <v>2.02</v>
      </c>
      <c r="F411" s="121" t="s">
        <v>21</v>
      </c>
      <c r="G411" s="122"/>
      <c r="H411" s="122"/>
      <c r="I411" s="123"/>
      <c r="J411" s="104"/>
    </row>
    <row r="412" spans="2:10" ht="15.75" x14ac:dyDescent="0.25">
      <c r="B412" s="80">
        <v>385</v>
      </c>
      <c r="C412" s="88" t="s">
        <v>81</v>
      </c>
      <c r="D412" s="86" t="s">
        <v>11</v>
      </c>
      <c r="E412" s="4">
        <f>E411/0.16</f>
        <v>12.625</v>
      </c>
      <c r="F412" s="121" t="s">
        <v>22</v>
      </c>
      <c r="G412" s="122"/>
      <c r="H412" s="122"/>
      <c r="I412" s="123"/>
      <c r="J412" s="104"/>
    </row>
    <row r="413" spans="2:10" ht="21" customHeight="1" x14ac:dyDescent="0.25">
      <c r="B413" s="80">
        <v>386</v>
      </c>
      <c r="C413" s="88" t="s">
        <v>90</v>
      </c>
      <c r="D413" s="86" t="s">
        <v>27</v>
      </c>
      <c r="E413" s="92">
        <f>((0.01*0.09*2.45)+((0.09*0.01*(0.064+0.01+0.064))*1)+((0.01*0.09*0.064)*2)+(0.01*0.09*(0.05+0.064)))*I395</f>
        <v>2.5470000000000002E-3</v>
      </c>
      <c r="F413" s="124" t="s">
        <v>140</v>
      </c>
      <c r="G413" s="125"/>
      <c r="H413" s="125"/>
      <c r="I413" s="126"/>
      <c r="J413" s="105"/>
    </row>
    <row r="414" spans="2:10" ht="15.75" x14ac:dyDescent="0.25">
      <c r="B414" s="80">
        <v>387</v>
      </c>
      <c r="C414" s="33" t="s">
        <v>46</v>
      </c>
      <c r="D414" s="86" t="s">
        <v>11</v>
      </c>
      <c r="E414" s="4">
        <f>(E396+E403+E404+E405+E406)*24</f>
        <v>18.48</v>
      </c>
      <c r="F414" s="133" t="s">
        <v>82</v>
      </c>
      <c r="G414" s="134"/>
      <c r="H414" s="134"/>
      <c r="I414" s="135"/>
      <c r="J414" s="98"/>
    </row>
    <row r="415" spans="2:10" ht="32.25" thickBot="1" x14ac:dyDescent="0.3">
      <c r="B415" s="80">
        <v>388</v>
      </c>
      <c r="C415" s="88" t="s">
        <v>47</v>
      </c>
      <c r="D415" s="86" t="s">
        <v>11</v>
      </c>
      <c r="E415" s="4">
        <f>E414</f>
        <v>18.48</v>
      </c>
      <c r="F415" s="136" t="s">
        <v>83</v>
      </c>
      <c r="G415" s="137"/>
      <c r="H415" s="137"/>
      <c r="I415" s="138"/>
      <c r="J415" s="98"/>
    </row>
    <row r="416" spans="2:10" ht="30" customHeight="1" thickTop="1" thickBot="1" x14ac:dyDescent="0.3">
      <c r="B416" s="109" t="s">
        <v>125</v>
      </c>
      <c r="C416" s="110"/>
      <c r="D416" s="110"/>
      <c r="E416" s="110"/>
      <c r="F416" s="110"/>
      <c r="G416" s="110"/>
      <c r="H416" s="110"/>
      <c r="I416" s="21">
        <v>1</v>
      </c>
      <c r="J416" s="103"/>
    </row>
    <row r="417" spans="2:10" ht="16.5" thickTop="1" x14ac:dyDescent="0.25">
      <c r="B417" s="82">
        <v>389</v>
      </c>
      <c r="C417" s="79" t="s">
        <v>42</v>
      </c>
      <c r="D417" s="77" t="s">
        <v>44</v>
      </c>
      <c r="E417" s="85">
        <f>ROUND(H417*I417/1000,3)</f>
        <v>0.27800000000000002</v>
      </c>
      <c r="F417" s="151" t="s">
        <v>51</v>
      </c>
      <c r="G417" s="152"/>
      <c r="H417" s="36">
        <f>19.58*I416</f>
        <v>19.579999999999998</v>
      </c>
      <c r="I417" s="68">
        <v>14.2</v>
      </c>
      <c r="J417" s="98"/>
    </row>
    <row r="418" spans="2:10" ht="15.75" x14ac:dyDescent="0.25">
      <c r="B418" s="113">
        <v>390</v>
      </c>
      <c r="C418" s="115" t="s">
        <v>49</v>
      </c>
      <c r="D418" s="117" t="s">
        <v>44</v>
      </c>
      <c r="E418" s="119">
        <f>ROUND((I418*H418)/1000,3)</f>
        <v>4.2999999999999997E-2</v>
      </c>
      <c r="F418" s="111" t="s">
        <v>45</v>
      </c>
      <c r="G418" s="112"/>
      <c r="H418" s="19">
        <f>72*I416</f>
        <v>72</v>
      </c>
      <c r="I418" s="53">
        <f>ROUND(0.68*0.888,2)</f>
        <v>0.6</v>
      </c>
      <c r="J418" s="98"/>
    </row>
    <row r="419" spans="2:10" ht="15.75" x14ac:dyDescent="0.25">
      <c r="B419" s="114"/>
      <c r="C419" s="116"/>
      <c r="D419" s="118"/>
      <c r="E419" s="120"/>
      <c r="F419" s="127" t="s">
        <v>50</v>
      </c>
      <c r="G419" s="128"/>
      <c r="H419" s="128"/>
      <c r="I419" s="129"/>
      <c r="J419" s="98"/>
    </row>
    <row r="420" spans="2:10" ht="15.75" customHeight="1" x14ac:dyDescent="0.25">
      <c r="B420" s="113">
        <v>391</v>
      </c>
      <c r="C420" s="115" t="s">
        <v>68</v>
      </c>
      <c r="D420" s="117" t="s">
        <v>44</v>
      </c>
      <c r="E420" s="155">
        <f>ROUND((H420*I420)/1000,4)</f>
        <v>2.9999999999999997E-4</v>
      </c>
      <c r="F420" s="111" t="s">
        <v>52</v>
      </c>
      <c r="G420" s="112"/>
      <c r="H420" s="19">
        <f>1*I416</f>
        <v>1</v>
      </c>
      <c r="I420" s="53">
        <f>ROUND(0.55*0.617,2)</f>
        <v>0.34</v>
      </c>
      <c r="J420" s="98"/>
    </row>
    <row r="421" spans="2:10" ht="15.75" x14ac:dyDescent="0.25">
      <c r="B421" s="130"/>
      <c r="C421" s="163"/>
      <c r="D421" s="131"/>
      <c r="E421" s="156"/>
      <c r="F421" s="127" t="s">
        <v>53</v>
      </c>
      <c r="G421" s="128"/>
      <c r="H421" s="128"/>
      <c r="I421" s="129"/>
      <c r="J421" s="98"/>
    </row>
    <row r="422" spans="2:10" ht="15.75" x14ac:dyDescent="0.25">
      <c r="B422" s="113">
        <v>392</v>
      </c>
      <c r="C422" s="115" t="s">
        <v>141</v>
      </c>
      <c r="D422" s="117" t="s">
        <v>44</v>
      </c>
      <c r="E422" s="119">
        <f>ROUND((I422*H422)/1000,4)</f>
        <v>6.9999999999999999E-4</v>
      </c>
      <c r="F422" s="111" t="s">
        <v>94</v>
      </c>
      <c r="G422" s="112"/>
      <c r="H422" s="19">
        <f>6*I416</f>
        <v>6</v>
      </c>
      <c r="I422" s="53">
        <f>ROUND(0.2*0.617,2)</f>
        <v>0.12</v>
      </c>
      <c r="J422" s="98"/>
    </row>
    <row r="423" spans="2:10" ht="15.75" x14ac:dyDescent="0.25">
      <c r="B423" s="130"/>
      <c r="C423" s="116"/>
      <c r="D423" s="118"/>
      <c r="E423" s="120"/>
      <c r="F423" s="127" t="s">
        <v>109</v>
      </c>
      <c r="G423" s="128"/>
      <c r="H423" s="128"/>
      <c r="I423" s="129"/>
      <c r="J423" s="98"/>
    </row>
    <row r="424" spans="2:10" ht="15.75" x14ac:dyDescent="0.25">
      <c r="B424" s="80">
        <v>393</v>
      </c>
      <c r="C424" s="33" t="s">
        <v>54</v>
      </c>
      <c r="D424" s="86" t="s">
        <v>44</v>
      </c>
      <c r="E424" s="86">
        <f>ROUND(H424*I424/1000,3)</f>
        <v>4.0000000000000001E-3</v>
      </c>
      <c r="F424" s="121" t="s">
        <v>5</v>
      </c>
      <c r="G424" s="122"/>
      <c r="H424" s="24">
        <f>8*I416</f>
        <v>8</v>
      </c>
      <c r="I424" s="54">
        <f>ROUND(0.16*0.06*0.006*7850,2)</f>
        <v>0.45</v>
      </c>
      <c r="J424" s="98"/>
    </row>
    <row r="425" spans="2:10" ht="15.75" x14ac:dyDescent="0.25">
      <c r="B425" s="80">
        <v>394</v>
      </c>
      <c r="C425" s="33" t="s">
        <v>55</v>
      </c>
      <c r="D425" s="86" t="s">
        <v>44</v>
      </c>
      <c r="E425" s="86">
        <f>ROUND((H425*I425)/1000,3)</f>
        <v>8.9999999999999993E-3</v>
      </c>
      <c r="F425" s="121" t="s">
        <v>75</v>
      </c>
      <c r="G425" s="122"/>
      <c r="H425" s="24">
        <f>8*I416</f>
        <v>8</v>
      </c>
      <c r="I425" s="54">
        <f>ROUND(0.21*0.07*0.01*7850,2)</f>
        <v>1.1499999999999999</v>
      </c>
      <c r="J425" s="98"/>
    </row>
    <row r="426" spans="2:10" ht="15.75" x14ac:dyDescent="0.25">
      <c r="B426" s="80">
        <v>395</v>
      </c>
      <c r="C426" s="33" t="s">
        <v>48</v>
      </c>
      <c r="D426" s="86" t="s">
        <v>44</v>
      </c>
      <c r="E426" s="89">
        <f>ROUND((I426*H426)/1000,3)</f>
        <v>1.9E-2</v>
      </c>
      <c r="F426" s="121" t="s">
        <v>56</v>
      </c>
      <c r="G426" s="122"/>
      <c r="H426" s="28">
        <f>6.06*I416</f>
        <v>6.06</v>
      </c>
      <c r="I426" s="67">
        <v>3.17</v>
      </c>
      <c r="J426" s="98"/>
    </row>
    <row r="427" spans="2:10" ht="15.75" x14ac:dyDescent="0.25">
      <c r="B427" s="80">
        <v>396</v>
      </c>
      <c r="C427" s="88" t="s">
        <v>59</v>
      </c>
      <c r="D427" s="86" t="s">
        <v>10</v>
      </c>
      <c r="E427" s="86">
        <f>7*I416</f>
        <v>7</v>
      </c>
      <c r="F427" s="133" t="s">
        <v>22</v>
      </c>
      <c r="G427" s="134"/>
      <c r="H427" s="134"/>
      <c r="I427" s="135"/>
      <c r="J427" s="98"/>
    </row>
    <row r="428" spans="2:10" ht="15.75" x14ac:dyDescent="0.25">
      <c r="B428" s="80">
        <v>397</v>
      </c>
      <c r="C428" s="88" t="s">
        <v>57</v>
      </c>
      <c r="D428" s="86" t="s">
        <v>10</v>
      </c>
      <c r="E428" s="86">
        <f>7*I416</f>
        <v>7</v>
      </c>
      <c r="F428" s="143" t="s">
        <v>58</v>
      </c>
      <c r="G428" s="143"/>
      <c r="H428" s="143"/>
      <c r="I428" s="144"/>
      <c r="J428" s="104"/>
    </row>
    <row r="429" spans="2:10" ht="15.75" x14ac:dyDescent="0.25">
      <c r="B429" s="80">
        <v>398</v>
      </c>
      <c r="C429" s="33" t="s">
        <v>60</v>
      </c>
      <c r="D429" s="86" t="s">
        <v>44</v>
      </c>
      <c r="E429" s="86">
        <f>ROUND((I429*H429)/1000,3)</f>
        <v>9.8000000000000004E-2</v>
      </c>
      <c r="F429" s="121" t="s">
        <v>61</v>
      </c>
      <c r="G429" s="122"/>
      <c r="H429" s="22">
        <f>61.92*I416</f>
        <v>61.92</v>
      </c>
      <c r="I429" s="55">
        <f>ROUND(1.578,2)</f>
        <v>1.58</v>
      </c>
      <c r="J429" s="98"/>
    </row>
    <row r="430" spans="2:10" ht="15.75" x14ac:dyDescent="0.25">
      <c r="B430" s="80">
        <v>399</v>
      </c>
      <c r="C430" s="33" t="s">
        <v>62</v>
      </c>
      <c r="D430" s="86" t="s">
        <v>27</v>
      </c>
      <c r="E430" s="86">
        <f>1.07*I416</f>
        <v>1.07</v>
      </c>
      <c r="F430" s="121" t="s">
        <v>21</v>
      </c>
      <c r="G430" s="122"/>
      <c r="H430" s="122"/>
      <c r="I430" s="123"/>
      <c r="J430" s="104"/>
    </row>
    <row r="431" spans="2:10" ht="15.75" x14ac:dyDescent="0.25">
      <c r="B431" s="80">
        <v>400</v>
      </c>
      <c r="C431" s="88" t="s">
        <v>81</v>
      </c>
      <c r="D431" s="86" t="s">
        <v>11</v>
      </c>
      <c r="E431" s="4">
        <f>E430/0.16</f>
        <v>6.6875</v>
      </c>
      <c r="F431" s="121" t="s">
        <v>22</v>
      </c>
      <c r="G431" s="122"/>
      <c r="H431" s="122"/>
      <c r="I431" s="123"/>
      <c r="J431" s="104"/>
    </row>
    <row r="432" spans="2:10" ht="17.25" customHeight="1" x14ac:dyDescent="0.25">
      <c r="B432" s="80">
        <v>401</v>
      </c>
      <c r="C432" s="88" t="s">
        <v>90</v>
      </c>
      <c r="D432" s="86" t="s">
        <v>27</v>
      </c>
      <c r="E432" s="92">
        <f>((0.09*0.01*(0.064+0.01+0.064))*4)*I416</f>
        <v>4.9680000000000004E-4</v>
      </c>
      <c r="F432" s="124" t="s">
        <v>139</v>
      </c>
      <c r="G432" s="125"/>
      <c r="H432" s="125"/>
      <c r="I432" s="126"/>
      <c r="J432" s="105"/>
    </row>
    <row r="433" spans="2:10" ht="15.75" x14ac:dyDescent="0.25">
      <c r="B433" s="80">
        <v>402</v>
      </c>
      <c r="C433" s="33" t="s">
        <v>46</v>
      </c>
      <c r="D433" s="86" t="s">
        <v>11</v>
      </c>
      <c r="E433" s="4">
        <f>(E417+E424+E425)*24</f>
        <v>6.9840000000000009</v>
      </c>
      <c r="F433" s="133" t="s">
        <v>82</v>
      </c>
      <c r="G433" s="134"/>
      <c r="H433" s="134"/>
      <c r="I433" s="135"/>
      <c r="J433" s="98"/>
    </row>
    <row r="434" spans="2:10" ht="32.25" thickBot="1" x14ac:dyDescent="0.3">
      <c r="B434" s="80">
        <v>403</v>
      </c>
      <c r="C434" s="88" t="s">
        <v>47</v>
      </c>
      <c r="D434" s="86" t="s">
        <v>11</v>
      </c>
      <c r="E434" s="4">
        <f>E433</f>
        <v>6.9840000000000009</v>
      </c>
      <c r="F434" s="136" t="s">
        <v>83</v>
      </c>
      <c r="G434" s="137"/>
      <c r="H434" s="137"/>
      <c r="I434" s="138"/>
      <c r="J434" s="98"/>
    </row>
    <row r="435" spans="2:10" ht="33" customHeight="1" thickTop="1" thickBot="1" x14ac:dyDescent="0.3">
      <c r="B435" s="109" t="s">
        <v>126</v>
      </c>
      <c r="C435" s="110"/>
      <c r="D435" s="110"/>
      <c r="E435" s="110"/>
      <c r="F435" s="110"/>
      <c r="G435" s="110"/>
      <c r="H435" s="110"/>
      <c r="I435" s="21">
        <v>1</v>
      </c>
      <c r="J435" s="103"/>
    </row>
    <row r="436" spans="2:10" ht="16.5" thickTop="1" x14ac:dyDescent="0.25">
      <c r="B436" s="82">
        <v>404</v>
      </c>
      <c r="C436" s="79" t="s">
        <v>42</v>
      </c>
      <c r="D436" s="77" t="s">
        <v>44</v>
      </c>
      <c r="E436" s="85">
        <f>ROUND(H436*I436/1000,3)</f>
        <v>0.30599999999999999</v>
      </c>
      <c r="F436" s="151" t="s">
        <v>74</v>
      </c>
      <c r="G436" s="152"/>
      <c r="H436" s="36">
        <f>18.8*I435</f>
        <v>18.8</v>
      </c>
      <c r="I436" s="68">
        <v>16.3</v>
      </c>
      <c r="J436" s="98"/>
    </row>
    <row r="437" spans="2:10" ht="15.75" x14ac:dyDescent="0.25">
      <c r="B437" s="113">
        <v>405</v>
      </c>
      <c r="C437" s="115" t="s">
        <v>49</v>
      </c>
      <c r="D437" s="117" t="s">
        <v>44</v>
      </c>
      <c r="E437" s="119">
        <f>ROUND((I437*H437)/1000,3)</f>
        <v>6.2E-2</v>
      </c>
      <c r="F437" s="111" t="s">
        <v>45</v>
      </c>
      <c r="G437" s="112"/>
      <c r="H437" s="19">
        <f>104*I435</f>
        <v>104</v>
      </c>
      <c r="I437" s="53">
        <f>ROUND(0.68*0.888,2)</f>
        <v>0.6</v>
      </c>
      <c r="J437" s="98"/>
    </row>
    <row r="438" spans="2:10" ht="15.75" x14ac:dyDescent="0.25">
      <c r="B438" s="114"/>
      <c r="C438" s="116"/>
      <c r="D438" s="118"/>
      <c r="E438" s="120"/>
      <c r="F438" s="127" t="s">
        <v>50</v>
      </c>
      <c r="G438" s="128"/>
      <c r="H438" s="128"/>
      <c r="I438" s="129"/>
      <c r="J438" s="98"/>
    </row>
    <row r="439" spans="2:10" ht="15.75" x14ac:dyDescent="0.25">
      <c r="B439" s="113">
        <v>406</v>
      </c>
      <c r="C439" s="115" t="s">
        <v>68</v>
      </c>
      <c r="D439" s="117" t="s">
        <v>44</v>
      </c>
      <c r="E439" s="155">
        <f>ROUND((H439*I439)/1000,4)</f>
        <v>6.9999999999999999E-4</v>
      </c>
      <c r="F439" s="111" t="s">
        <v>52</v>
      </c>
      <c r="G439" s="112"/>
      <c r="H439" s="19">
        <f>2*I435</f>
        <v>2</v>
      </c>
      <c r="I439" s="53">
        <f>ROUND(0.55*0.617,2)</f>
        <v>0.34</v>
      </c>
      <c r="J439" s="98"/>
    </row>
    <row r="440" spans="2:10" ht="15.75" x14ac:dyDescent="0.25">
      <c r="B440" s="130"/>
      <c r="C440" s="163"/>
      <c r="D440" s="131"/>
      <c r="E440" s="156"/>
      <c r="F440" s="127" t="s">
        <v>53</v>
      </c>
      <c r="G440" s="128"/>
      <c r="H440" s="128"/>
      <c r="I440" s="129"/>
      <c r="J440" s="98"/>
    </row>
    <row r="441" spans="2:10" ht="15.75" x14ac:dyDescent="0.25">
      <c r="B441" s="113">
        <v>407</v>
      </c>
      <c r="C441" s="115" t="s">
        <v>138</v>
      </c>
      <c r="D441" s="117" t="s">
        <v>44</v>
      </c>
      <c r="E441" s="155">
        <f>ROUND((H441*I441)/1000,4)</f>
        <v>4.0000000000000002E-4</v>
      </c>
      <c r="F441" s="111" t="s">
        <v>73</v>
      </c>
      <c r="G441" s="112"/>
      <c r="H441" s="19">
        <f>4*I435</f>
        <v>4</v>
      </c>
      <c r="I441" s="53">
        <f>ROUND(0.155*0.617,2)</f>
        <v>0.1</v>
      </c>
      <c r="J441" s="98"/>
    </row>
    <row r="442" spans="2:10" ht="15.75" x14ac:dyDescent="0.25">
      <c r="B442" s="114"/>
      <c r="C442" s="163"/>
      <c r="D442" s="118"/>
      <c r="E442" s="166"/>
      <c r="F442" s="151" t="s">
        <v>53</v>
      </c>
      <c r="G442" s="152"/>
      <c r="H442" s="152"/>
      <c r="I442" s="185"/>
      <c r="J442" s="98"/>
    </row>
    <row r="443" spans="2:10" ht="15.75" x14ac:dyDescent="0.25">
      <c r="B443" s="80">
        <v>408</v>
      </c>
      <c r="C443" s="33" t="s">
        <v>54</v>
      </c>
      <c r="D443" s="86" t="s">
        <v>44</v>
      </c>
      <c r="E443" s="86">
        <f>ROUND(H443*I443/1000,3)</f>
        <v>3.0000000000000001E-3</v>
      </c>
      <c r="F443" s="121" t="s">
        <v>5</v>
      </c>
      <c r="G443" s="122"/>
      <c r="H443" s="24">
        <f>6*I435</f>
        <v>6</v>
      </c>
      <c r="I443" s="54">
        <f>ROUND(0.16*0.06*0.006*7850,2)</f>
        <v>0.45</v>
      </c>
      <c r="J443" s="98"/>
    </row>
    <row r="444" spans="2:10" ht="15.75" x14ac:dyDescent="0.25">
      <c r="B444" s="80">
        <v>409</v>
      </c>
      <c r="C444" s="33" t="s">
        <v>55</v>
      </c>
      <c r="D444" s="86" t="s">
        <v>44</v>
      </c>
      <c r="E444" s="86">
        <f>ROUND((H444*I444)/1000,3)</f>
        <v>6.0000000000000001E-3</v>
      </c>
      <c r="F444" s="121" t="s">
        <v>75</v>
      </c>
      <c r="G444" s="122"/>
      <c r="H444" s="24">
        <f>5*I435</f>
        <v>5</v>
      </c>
      <c r="I444" s="54">
        <f>ROUND(0.21*0.07*0.01*7850,2)</f>
        <v>1.1499999999999999</v>
      </c>
      <c r="J444" s="98"/>
    </row>
    <row r="445" spans="2:10" ht="15.75" x14ac:dyDescent="0.25">
      <c r="B445" s="80">
        <v>410</v>
      </c>
      <c r="C445" s="33" t="s">
        <v>80</v>
      </c>
      <c r="D445" s="86" t="s">
        <v>44</v>
      </c>
      <c r="E445" s="86">
        <f>ROUND((H445*I445)/1000,3)</f>
        <v>7.0000000000000001E-3</v>
      </c>
      <c r="F445" s="139" t="s">
        <v>92</v>
      </c>
      <c r="G445" s="140"/>
      <c r="H445" s="30">
        <f>1.98*I435</f>
        <v>1.98</v>
      </c>
      <c r="I445" s="61">
        <f>ROUND(3.77*1,2)</f>
        <v>3.77</v>
      </c>
      <c r="J445" s="98">
        <f>1.98*3.77</f>
        <v>7.4645999999999999</v>
      </c>
    </row>
    <row r="446" spans="2:10" ht="15.75" x14ac:dyDescent="0.25">
      <c r="B446" s="80">
        <v>411</v>
      </c>
      <c r="C446" s="33" t="s">
        <v>48</v>
      </c>
      <c r="D446" s="86" t="s">
        <v>44</v>
      </c>
      <c r="E446" s="89">
        <f>ROUND((I446*H446)/1000,3)</f>
        <v>2.3E-2</v>
      </c>
      <c r="F446" s="121" t="s">
        <v>56</v>
      </c>
      <c r="G446" s="122"/>
      <c r="H446" s="28">
        <f>7.2*I435</f>
        <v>7.2</v>
      </c>
      <c r="I446" s="67">
        <v>3.17</v>
      </c>
      <c r="J446" s="98"/>
    </row>
    <row r="447" spans="2:10" ht="15.75" x14ac:dyDescent="0.25">
      <c r="B447" s="80">
        <v>412</v>
      </c>
      <c r="C447" s="88" t="s">
        <v>59</v>
      </c>
      <c r="D447" s="86" t="s">
        <v>10</v>
      </c>
      <c r="E447" s="86">
        <f>6*I435</f>
        <v>6</v>
      </c>
      <c r="F447" s="133" t="s">
        <v>22</v>
      </c>
      <c r="G447" s="134"/>
      <c r="H447" s="134"/>
      <c r="I447" s="135"/>
      <c r="J447" s="98"/>
    </row>
    <row r="448" spans="2:10" ht="15.75" x14ac:dyDescent="0.25">
      <c r="B448" s="80">
        <v>413</v>
      </c>
      <c r="C448" s="88" t="s">
        <v>57</v>
      </c>
      <c r="D448" s="86" t="s">
        <v>10</v>
      </c>
      <c r="E448" s="86">
        <f>6*I435</f>
        <v>6</v>
      </c>
      <c r="F448" s="143" t="s">
        <v>58</v>
      </c>
      <c r="G448" s="143"/>
      <c r="H448" s="143"/>
      <c r="I448" s="144"/>
      <c r="J448" s="104"/>
    </row>
    <row r="449" spans="2:10" ht="15.75" x14ac:dyDescent="0.25">
      <c r="B449" s="80">
        <v>414</v>
      </c>
      <c r="C449" s="33" t="s">
        <v>60</v>
      </c>
      <c r="D449" s="86" t="s">
        <v>44</v>
      </c>
      <c r="E449" s="86">
        <f>ROUND((I449*H449)/1000,3)</f>
        <v>0.122</v>
      </c>
      <c r="F449" s="121" t="s">
        <v>61</v>
      </c>
      <c r="G449" s="122"/>
      <c r="H449" s="22">
        <f>77.42*I435</f>
        <v>77.42</v>
      </c>
      <c r="I449" s="55">
        <f>ROUND(1.578,2)</f>
        <v>1.58</v>
      </c>
      <c r="J449" s="98"/>
    </row>
    <row r="450" spans="2:10" ht="15.75" x14ac:dyDescent="0.25">
      <c r="B450" s="80">
        <v>415</v>
      </c>
      <c r="C450" s="33" t="s">
        <v>62</v>
      </c>
      <c r="D450" s="86" t="s">
        <v>27</v>
      </c>
      <c r="E450" s="86">
        <f>1.27*I435</f>
        <v>1.27</v>
      </c>
      <c r="F450" s="121" t="s">
        <v>127</v>
      </c>
      <c r="G450" s="122"/>
      <c r="H450" s="122"/>
      <c r="I450" s="123"/>
      <c r="J450" s="104"/>
    </row>
    <row r="451" spans="2:10" ht="15.75" x14ac:dyDescent="0.25">
      <c r="B451" s="80">
        <v>416</v>
      </c>
      <c r="C451" s="88" t="s">
        <v>81</v>
      </c>
      <c r="D451" s="86" t="s">
        <v>11</v>
      </c>
      <c r="E451" s="4">
        <f>E450/0.16</f>
        <v>7.9375</v>
      </c>
      <c r="F451" s="121" t="s">
        <v>22</v>
      </c>
      <c r="G451" s="122"/>
      <c r="H451" s="122"/>
      <c r="I451" s="123"/>
      <c r="J451" s="104"/>
    </row>
    <row r="452" spans="2:10" ht="18.75" customHeight="1" x14ac:dyDescent="0.25">
      <c r="B452" s="80">
        <v>417</v>
      </c>
      <c r="C452" s="88" t="s">
        <v>90</v>
      </c>
      <c r="D452" s="86" t="s">
        <v>27</v>
      </c>
      <c r="E452" s="92">
        <f>(((0.09*0.01*(0.064+0.01+0.064))*2)+((0.09*0.01*(0.064+0.05))*2)+((0.09*0.01*0.064)*2))*I435</f>
        <v>5.6880000000000006E-4</v>
      </c>
      <c r="F452" s="124" t="s">
        <v>140</v>
      </c>
      <c r="G452" s="125"/>
      <c r="H452" s="125"/>
      <c r="I452" s="126"/>
      <c r="J452" s="105"/>
    </row>
    <row r="453" spans="2:10" ht="15.75" x14ac:dyDescent="0.25">
      <c r="B453" s="80">
        <v>418</v>
      </c>
      <c r="C453" s="33" t="s">
        <v>46</v>
      </c>
      <c r="D453" s="86" t="s">
        <v>11</v>
      </c>
      <c r="E453" s="4">
        <f>(E436+E443+E444+E445)*24</f>
        <v>7.7279999999999998</v>
      </c>
      <c r="F453" s="133" t="s">
        <v>82</v>
      </c>
      <c r="G453" s="134"/>
      <c r="H453" s="134"/>
      <c r="I453" s="135"/>
      <c r="J453" s="98"/>
    </row>
    <row r="454" spans="2:10" ht="32.25" thickBot="1" x14ac:dyDescent="0.3">
      <c r="B454" s="80">
        <v>419</v>
      </c>
      <c r="C454" s="88" t="s">
        <v>47</v>
      </c>
      <c r="D454" s="86" t="s">
        <v>11</v>
      </c>
      <c r="E454" s="4">
        <f>E453</f>
        <v>7.7279999999999998</v>
      </c>
      <c r="F454" s="136" t="s">
        <v>83</v>
      </c>
      <c r="G454" s="137"/>
      <c r="H454" s="137"/>
      <c r="I454" s="138"/>
      <c r="J454" s="98"/>
    </row>
    <row r="455" spans="2:10" ht="29.25" customHeight="1" thickTop="1" thickBot="1" x14ac:dyDescent="0.3">
      <c r="B455" s="109" t="s">
        <v>128</v>
      </c>
      <c r="C455" s="110"/>
      <c r="D455" s="110"/>
      <c r="E455" s="110"/>
      <c r="F455" s="110"/>
      <c r="G455" s="110"/>
      <c r="H455" s="110"/>
      <c r="I455" s="21">
        <v>1</v>
      </c>
      <c r="J455" s="103"/>
    </row>
    <row r="456" spans="2:10" ht="16.5" thickTop="1" x14ac:dyDescent="0.25">
      <c r="B456" s="82">
        <v>420</v>
      </c>
      <c r="C456" s="79" t="s">
        <v>42</v>
      </c>
      <c r="D456" s="77" t="s">
        <v>44</v>
      </c>
      <c r="E456" s="85">
        <f>ROUND(H456*I456/1000,3)</f>
        <v>0.38800000000000001</v>
      </c>
      <c r="F456" s="151" t="s">
        <v>74</v>
      </c>
      <c r="G456" s="152"/>
      <c r="H456" s="36">
        <f>23.8*I455</f>
        <v>23.8</v>
      </c>
      <c r="I456" s="68">
        <v>16.3</v>
      </c>
      <c r="J456" s="98"/>
    </row>
    <row r="457" spans="2:10" ht="15.75" x14ac:dyDescent="0.25">
      <c r="B457" s="113">
        <v>421</v>
      </c>
      <c r="C457" s="115" t="s">
        <v>49</v>
      </c>
      <c r="D457" s="117" t="s">
        <v>44</v>
      </c>
      <c r="E457" s="119">
        <f>ROUND((I457*H457)/1000,3)</f>
        <v>3.7999999999999999E-2</v>
      </c>
      <c r="F457" s="111" t="s">
        <v>45</v>
      </c>
      <c r="G457" s="112"/>
      <c r="H457" s="19">
        <f>64*I455</f>
        <v>64</v>
      </c>
      <c r="I457" s="53">
        <f>ROUND(0.68*0.888,2)</f>
        <v>0.6</v>
      </c>
      <c r="J457" s="98"/>
    </row>
    <row r="458" spans="2:10" ht="15.75" x14ac:dyDescent="0.25">
      <c r="B458" s="114"/>
      <c r="C458" s="116"/>
      <c r="D458" s="118"/>
      <c r="E458" s="120"/>
      <c r="F458" s="127" t="s">
        <v>50</v>
      </c>
      <c r="G458" s="128"/>
      <c r="H458" s="128"/>
      <c r="I458" s="129"/>
      <c r="J458" s="98"/>
    </row>
    <row r="459" spans="2:10" ht="15.75" x14ac:dyDescent="0.25">
      <c r="B459" s="113">
        <v>422</v>
      </c>
      <c r="C459" s="115" t="s">
        <v>141</v>
      </c>
      <c r="D459" s="117" t="s">
        <v>44</v>
      </c>
      <c r="E459" s="119">
        <f>ROUND((I459*H459)/1000,4)</f>
        <v>1E-3</v>
      </c>
      <c r="F459" s="111" t="s">
        <v>94</v>
      </c>
      <c r="G459" s="112"/>
      <c r="H459" s="19">
        <f>8*I455</f>
        <v>8</v>
      </c>
      <c r="I459" s="53">
        <f>ROUND(0.2*0.617,2)</f>
        <v>0.12</v>
      </c>
      <c r="J459" s="98"/>
    </row>
    <row r="460" spans="2:10" ht="15.75" x14ac:dyDescent="0.25">
      <c r="B460" s="130"/>
      <c r="C460" s="116"/>
      <c r="D460" s="118"/>
      <c r="E460" s="120"/>
      <c r="F460" s="127" t="s">
        <v>109</v>
      </c>
      <c r="G460" s="128"/>
      <c r="H460" s="128"/>
      <c r="I460" s="129"/>
      <c r="J460" s="98"/>
    </row>
    <row r="461" spans="2:10" ht="15.75" x14ac:dyDescent="0.25">
      <c r="B461" s="80">
        <v>423</v>
      </c>
      <c r="C461" s="33" t="s">
        <v>54</v>
      </c>
      <c r="D461" s="86" t="s">
        <v>44</v>
      </c>
      <c r="E461" s="86">
        <f>ROUND(H461*I461/1000,3)</f>
        <v>4.0000000000000001E-3</v>
      </c>
      <c r="F461" s="121" t="s">
        <v>5</v>
      </c>
      <c r="G461" s="122"/>
      <c r="H461" s="24">
        <f>8*I455</f>
        <v>8</v>
      </c>
      <c r="I461" s="54">
        <f>ROUND(0.16*0.06*0.006*7850,2)</f>
        <v>0.45</v>
      </c>
      <c r="J461" s="98"/>
    </row>
    <row r="462" spans="2:10" ht="15.75" x14ac:dyDescent="0.25">
      <c r="B462" s="80">
        <v>424</v>
      </c>
      <c r="C462" s="33" t="s">
        <v>55</v>
      </c>
      <c r="D462" s="86" t="s">
        <v>44</v>
      </c>
      <c r="E462" s="86">
        <f>ROUND((H462*I462)/1000,3)</f>
        <v>1.2E-2</v>
      </c>
      <c r="F462" s="121" t="s">
        <v>75</v>
      </c>
      <c r="G462" s="122"/>
      <c r="H462" s="24">
        <f>10*I455</f>
        <v>10</v>
      </c>
      <c r="I462" s="54">
        <f>ROUND(0.21*0.07*0.01*7850,2)</f>
        <v>1.1499999999999999</v>
      </c>
      <c r="J462" s="98"/>
    </row>
    <row r="463" spans="2:10" ht="15.75" x14ac:dyDescent="0.25">
      <c r="B463" s="80">
        <v>425</v>
      </c>
      <c r="C463" s="33" t="s">
        <v>116</v>
      </c>
      <c r="D463" s="86" t="s">
        <v>44</v>
      </c>
      <c r="E463" s="86">
        <f>ROUND((H463*I463)/1000,3)</f>
        <v>4.0000000000000001E-3</v>
      </c>
      <c r="F463" s="133" t="s">
        <v>79</v>
      </c>
      <c r="G463" s="134"/>
      <c r="H463" s="22">
        <f>0.6*I455</f>
        <v>0.6</v>
      </c>
      <c r="I463" s="55">
        <f>ROUND(6.89*1,2)</f>
        <v>6.89</v>
      </c>
      <c r="J463" s="98">
        <f>0.6*6.89</f>
        <v>4.1339999999999995</v>
      </c>
    </row>
    <row r="464" spans="2:10" ht="15.75" x14ac:dyDescent="0.25">
      <c r="B464" s="80">
        <v>426</v>
      </c>
      <c r="C464" s="33" t="s">
        <v>48</v>
      </c>
      <c r="D464" s="86" t="s">
        <v>44</v>
      </c>
      <c r="E464" s="89">
        <f>ROUND((I464*H464)/1000,3)</f>
        <v>8.9999999999999993E-3</v>
      </c>
      <c r="F464" s="121" t="s">
        <v>56</v>
      </c>
      <c r="G464" s="122"/>
      <c r="H464" s="28">
        <f>2.7*I455</f>
        <v>2.7</v>
      </c>
      <c r="I464" s="67">
        <v>3.17</v>
      </c>
      <c r="J464" s="98"/>
    </row>
    <row r="465" spans="2:10" ht="15.75" x14ac:dyDescent="0.25">
      <c r="B465" s="80">
        <v>427</v>
      </c>
      <c r="C465" s="88" t="s">
        <v>59</v>
      </c>
      <c r="D465" s="86" t="s">
        <v>10</v>
      </c>
      <c r="E465" s="86">
        <f>8*I455</f>
        <v>8</v>
      </c>
      <c r="F465" s="133" t="s">
        <v>22</v>
      </c>
      <c r="G465" s="134"/>
      <c r="H465" s="134"/>
      <c r="I465" s="135"/>
      <c r="J465" s="98"/>
    </row>
    <row r="466" spans="2:10" ht="15.75" x14ac:dyDescent="0.25">
      <c r="B466" s="80">
        <v>428</v>
      </c>
      <c r="C466" s="88" t="s">
        <v>57</v>
      </c>
      <c r="D466" s="86" t="s">
        <v>10</v>
      </c>
      <c r="E466" s="86">
        <f>8*I455</f>
        <v>8</v>
      </c>
      <c r="F466" s="143" t="s">
        <v>58</v>
      </c>
      <c r="G466" s="143"/>
      <c r="H466" s="143"/>
      <c r="I466" s="144"/>
      <c r="J466" s="104"/>
    </row>
    <row r="467" spans="2:10" ht="15.75" x14ac:dyDescent="0.25">
      <c r="B467" s="80">
        <v>429</v>
      </c>
      <c r="C467" s="33" t="s">
        <v>60</v>
      </c>
      <c r="D467" s="86" t="s">
        <v>44</v>
      </c>
      <c r="E467" s="86">
        <f>ROUND((I467*H467)/1000,3)</f>
        <v>4.4999999999999998E-2</v>
      </c>
      <c r="F467" s="121" t="s">
        <v>61</v>
      </c>
      <c r="G467" s="122"/>
      <c r="H467" s="22">
        <f>28.4*I455</f>
        <v>28.4</v>
      </c>
      <c r="I467" s="55">
        <f>ROUND(1.578,2)</f>
        <v>1.58</v>
      </c>
      <c r="J467" s="98"/>
    </row>
    <row r="468" spans="2:10" ht="15.75" x14ac:dyDescent="0.25">
      <c r="B468" s="80">
        <v>430</v>
      </c>
      <c r="C468" s="33" t="s">
        <v>62</v>
      </c>
      <c r="D468" s="86" t="s">
        <v>27</v>
      </c>
      <c r="E468" s="86">
        <f>0.43*I455</f>
        <v>0.43</v>
      </c>
      <c r="F468" s="121" t="s">
        <v>21</v>
      </c>
      <c r="G468" s="122"/>
      <c r="H468" s="122"/>
      <c r="I468" s="123"/>
      <c r="J468" s="104"/>
    </row>
    <row r="469" spans="2:10" ht="15.75" x14ac:dyDescent="0.25">
      <c r="B469" s="80">
        <v>431</v>
      </c>
      <c r="C469" s="88" t="s">
        <v>81</v>
      </c>
      <c r="D469" s="86" t="s">
        <v>11</v>
      </c>
      <c r="E469" s="4">
        <f>E468/0.16</f>
        <v>2.6875</v>
      </c>
      <c r="F469" s="121" t="s">
        <v>22</v>
      </c>
      <c r="G469" s="122"/>
      <c r="H469" s="122"/>
      <c r="I469" s="123"/>
      <c r="J469" s="104"/>
    </row>
    <row r="470" spans="2:10" ht="18" customHeight="1" x14ac:dyDescent="0.25">
      <c r="B470" s="80">
        <v>432</v>
      </c>
      <c r="C470" s="88" t="s">
        <v>90</v>
      </c>
      <c r="D470" s="86" t="s">
        <v>27</v>
      </c>
      <c r="E470" s="92">
        <f>((0.09*0.01*(0.064+0.01+0.064))*4)*I455</f>
        <v>4.9680000000000004E-4</v>
      </c>
      <c r="F470" s="124" t="s">
        <v>140</v>
      </c>
      <c r="G470" s="125"/>
      <c r="H470" s="125"/>
      <c r="I470" s="126"/>
      <c r="J470" s="105"/>
    </row>
    <row r="471" spans="2:10" ht="15.75" x14ac:dyDescent="0.25">
      <c r="B471" s="80">
        <v>433</v>
      </c>
      <c r="C471" s="33" t="s">
        <v>46</v>
      </c>
      <c r="D471" s="86" t="s">
        <v>11</v>
      </c>
      <c r="E471" s="4">
        <f>(E456+E461+E462+E463)*24</f>
        <v>9.7920000000000016</v>
      </c>
      <c r="F471" s="133" t="s">
        <v>82</v>
      </c>
      <c r="G471" s="134"/>
      <c r="H471" s="134"/>
      <c r="I471" s="135"/>
      <c r="J471" s="98"/>
    </row>
    <row r="472" spans="2:10" ht="32.25" thickBot="1" x14ac:dyDescent="0.3">
      <c r="B472" s="80">
        <v>434</v>
      </c>
      <c r="C472" s="88" t="s">
        <v>47</v>
      </c>
      <c r="D472" s="86" t="s">
        <v>11</v>
      </c>
      <c r="E472" s="4">
        <f>E471</f>
        <v>9.7920000000000016</v>
      </c>
      <c r="F472" s="136" t="s">
        <v>83</v>
      </c>
      <c r="G472" s="137"/>
      <c r="H472" s="137"/>
      <c r="I472" s="138"/>
      <c r="J472" s="98"/>
    </row>
    <row r="473" spans="2:10" ht="30" customHeight="1" thickTop="1" thickBot="1" x14ac:dyDescent="0.3">
      <c r="B473" s="109" t="s">
        <v>129</v>
      </c>
      <c r="C473" s="110"/>
      <c r="D473" s="110"/>
      <c r="E473" s="110"/>
      <c r="F473" s="110"/>
      <c r="G473" s="110"/>
      <c r="H473" s="110"/>
      <c r="I473" s="21">
        <v>1</v>
      </c>
      <c r="J473" s="103"/>
    </row>
    <row r="474" spans="2:10" ht="16.5" thickTop="1" x14ac:dyDescent="0.25">
      <c r="B474" s="82">
        <v>435</v>
      </c>
      <c r="C474" s="79" t="s">
        <v>42</v>
      </c>
      <c r="D474" s="77" t="s">
        <v>44</v>
      </c>
      <c r="E474" s="85">
        <f>ROUND(H474*I474/1000,3)</f>
        <v>0.217</v>
      </c>
      <c r="F474" s="127" t="s">
        <v>51</v>
      </c>
      <c r="G474" s="128"/>
      <c r="H474" s="30">
        <f>15.31*I473</f>
        <v>15.31</v>
      </c>
      <c r="I474" s="61">
        <v>14.2</v>
      </c>
      <c r="J474" s="98"/>
    </row>
    <row r="475" spans="2:10" ht="15.75" x14ac:dyDescent="0.25">
      <c r="B475" s="113">
        <v>436</v>
      </c>
      <c r="C475" s="115" t="s">
        <v>49</v>
      </c>
      <c r="D475" s="117" t="s">
        <v>44</v>
      </c>
      <c r="E475" s="119">
        <f>ROUND((I475*H475)/1000,3)</f>
        <v>3.2000000000000001E-2</v>
      </c>
      <c r="F475" s="151" t="s">
        <v>45</v>
      </c>
      <c r="G475" s="152"/>
      <c r="H475" s="26">
        <f>54*I473</f>
        <v>54</v>
      </c>
      <c r="I475" s="52">
        <f>ROUND(0.68*0.888,2)</f>
        <v>0.6</v>
      </c>
      <c r="J475" s="98"/>
    </row>
    <row r="476" spans="2:10" ht="15.75" x14ac:dyDescent="0.25">
      <c r="B476" s="114"/>
      <c r="C476" s="116"/>
      <c r="D476" s="118"/>
      <c r="E476" s="120"/>
      <c r="F476" s="127" t="s">
        <v>50</v>
      </c>
      <c r="G476" s="128"/>
      <c r="H476" s="128"/>
      <c r="I476" s="129"/>
      <c r="J476" s="98"/>
    </row>
    <row r="477" spans="2:10" ht="15.75" x14ac:dyDescent="0.25">
      <c r="B477" s="80">
        <v>437</v>
      </c>
      <c r="C477" s="33" t="s">
        <v>54</v>
      </c>
      <c r="D477" s="86" t="s">
        <v>44</v>
      </c>
      <c r="E477" s="86">
        <f>ROUND(H477*I477/1000,3)</f>
        <v>4.0000000000000001E-3</v>
      </c>
      <c r="F477" s="121" t="s">
        <v>5</v>
      </c>
      <c r="G477" s="122"/>
      <c r="H477" s="24">
        <f>8*I473</f>
        <v>8</v>
      </c>
      <c r="I477" s="54">
        <f>ROUND(0.16*0.06*0.006*7850,2)</f>
        <v>0.45</v>
      </c>
      <c r="J477" s="98"/>
    </row>
    <row r="478" spans="2:10" ht="15.75" x14ac:dyDescent="0.25">
      <c r="B478" s="80">
        <v>438</v>
      </c>
      <c r="C478" s="33" t="s">
        <v>117</v>
      </c>
      <c r="D478" s="86" t="s">
        <v>44</v>
      </c>
      <c r="E478" s="86">
        <f>ROUND(H478*I478/1000,3)</f>
        <v>3.0000000000000001E-3</v>
      </c>
      <c r="F478" s="121" t="s">
        <v>71</v>
      </c>
      <c r="G478" s="122"/>
      <c r="H478" s="24">
        <f>4*I473</f>
        <v>4</v>
      </c>
      <c r="I478" s="54">
        <f>ROUND(6.89*0.1,2)</f>
        <v>0.69</v>
      </c>
      <c r="J478" s="98"/>
    </row>
    <row r="479" spans="2:10" ht="15.75" x14ac:dyDescent="0.25">
      <c r="B479" s="80">
        <v>439</v>
      </c>
      <c r="C479" s="33" t="s">
        <v>116</v>
      </c>
      <c r="D479" s="86"/>
      <c r="E479" s="45">
        <f>ROUND(H479*I479/1000,3)</f>
        <v>5.0000000000000001E-3</v>
      </c>
      <c r="F479" s="133" t="s">
        <v>89</v>
      </c>
      <c r="G479" s="134"/>
      <c r="H479" s="22">
        <f>1.23*I473</f>
        <v>1.23</v>
      </c>
      <c r="I479" s="55">
        <f>ROUND(3.77*1,2)</f>
        <v>3.77</v>
      </c>
      <c r="J479" s="98">
        <f>1.23*3.77</f>
        <v>4.6371000000000002</v>
      </c>
    </row>
    <row r="480" spans="2:10" ht="15.75" x14ac:dyDescent="0.25">
      <c r="B480" s="80">
        <v>440</v>
      </c>
      <c r="C480" s="33" t="s">
        <v>111</v>
      </c>
      <c r="D480" s="86" t="s">
        <v>44</v>
      </c>
      <c r="E480" s="86">
        <f>ROUND(H480*I480/1000,3)</f>
        <v>0.03</v>
      </c>
      <c r="F480" s="121" t="s">
        <v>72</v>
      </c>
      <c r="G480" s="122"/>
      <c r="H480" s="28">
        <f>0.63*I473</f>
        <v>0.63</v>
      </c>
      <c r="I480" s="67">
        <v>47.1</v>
      </c>
      <c r="J480" s="98">
        <f>0.63*47.1</f>
        <v>29.673000000000002</v>
      </c>
    </row>
    <row r="481" spans="2:10" ht="15.75" x14ac:dyDescent="0.25">
      <c r="B481" s="80">
        <v>441</v>
      </c>
      <c r="C481" s="33" t="s">
        <v>48</v>
      </c>
      <c r="D481" s="86" t="s">
        <v>44</v>
      </c>
      <c r="E481" s="89">
        <f>ROUND((I481*H481)/1000,3)</f>
        <v>7.0000000000000001E-3</v>
      </c>
      <c r="F481" s="121" t="s">
        <v>56</v>
      </c>
      <c r="G481" s="122"/>
      <c r="H481" s="28">
        <f>2.1*I473</f>
        <v>2.1</v>
      </c>
      <c r="I481" s="67">
        <v>3.17</v>
      </c>
      <c r="J481" s="98"/>
    </row>
    <row r="482" spans="2:10" ht="15.75" x14ac:dyDescent="0.25">
      <c r="B482" s="80">
        <v>442</v>
      </c>
      <c r="C482" s="88" t="s">
        <v>59</v>
      </c>
      <c r="D482" s="86" t="s">
        <v>10</v>
      </c>
      <c r="E482" s="86">
        <f>8*I473</f>
        <v>8</v>
      </c>
      <c r="F482" s="133" t="s">
        <v>22</v>
      </c>
      <c r="G482" s="134"/>
      <c r="H482" s="134"/>
      <c r="I482" s="135"/>
      <c r="J482" s="98"/>
    </row>
    <row r="483" spans="2:10" ht="15.75" x14ac:dyDescent="0.25">
      <c r="B483" s="80">
        <v>443</v>
      </c>
      <c r="C483" s="88" t="s">
        <v>57</v>
      </c>
      <c r="D483" s="86" t="s">
        <v>10</v>
      </c>
      <c r="E483" s="86">
        <f>8*I473</f>
        <v>8</v>
      </c>
      <c r="F483" s="143" t="s">
        <v>58</v>
      </c>
      <c r="G483" s="143"/>
      <c r="H483" s="143"/>
      <c r="I483" s="144"/>
      <c r="J483" s="104"/>
    </row>
    <row r="484" spans="2:10" ht="15.75" x14ac:dyDescent="0.25">
      <c r="B484" s="80">
        <v>444</v>
      </c>
      <c r="C484" s="33" t="s">
        <v>60</v>
      </c>
      <c r="D484" s="86" t="s">
        <v>44</v>
      </c>
      <c r="E484" s="86">
        <f>ROUND((I484*H484)/1000,3)</f>
        <v>2.5999999999999999E-2</v>
      </c>
      <c r="F484" s="121" t="s">
        <v>61</v>
      </c>
      <c r="G484" s="122"/>
      <c r="H484" s="22">
        <f>16.43*I473</f>
        <v>16.43</v>
      </c>
      <c r="I484" s="55">
        <f>ROUND(1.578,2)</f>
        <v>1.58</v>
      </c>
      <c r="J484" s="98"/>
    </row>
    <row r="485" spans="2:10" ht="15.75" x14ac:dyDescent="0.25">
      <c r="B485" s="80">
        <v>445</v>
      </c>
      <c r="C485" s="33" t="s">
        <v>62</v>
      </c>
      <c r="D485" s="86" t="s">
        <v>27</v>
      </c>
      <c r="E485" s="86">
        <f>0.48*I473</f>
        <v>0.48</v>
      </c>
      <c r="F485" s="121" t="s">
        <v>21</v>
      </c>
      <c r="G485" s="122"/>
      <c r="H485" s="122"/>
      <c r="I485" s="123"/>
      <c r="J485" s="104"/>
    </row>
    <row r="486" spans="2:10" ht="15.75" x14ac:dyDescent="0.25">
      <c r="B486" s="80">
        <v>446</v>
      </c>
      <c r="C486" s="88" t="s">
        <v>81</v>
      </c>
      <c r="D486" s="86" t="s">
        <v>11</v>
      </c>
      <c r="E486" s="4">
        <f>E485/0.16</f>
        <v>3</v>
      </c>
      <c r="F486" s="121" t="s">
        <v>22</v>
      </c>
      <c r="G486" s="122"/>
      <c r="H486" s="122"/>
      <c r="I486" s="123"/>
      <c r="J486" s="104"/>
    </row>
    <row r="487" spans="2:10" ht="15.75" x14ac:dyDescent="0.25">
      <c r="B487" s="80">
        <v>447</v>
      </c>
      <c r="C487" s="88" t="s">
        <v>90</v>
      </c>
      <c r="D487" s="86" t="s">
        <v>27</v>
      </c>
      <c r="E487" s="92">
        <f>(((0.09*0.01*0.064)*6)+((0.09*0.01*(0.865+0.114)*1)))*I473</f>
        <v>1.2267000000000001E-3</v>
      </c>
      <c r="F487" s="124" t="s">
        <v>139</v>
      </c>
      <c r="G487" s="125"/>
      <c r="H487" s="125"/>
      <c r="I487" s="126"/>
      <c r="J487" s="105"/>
    </row>
    <row r="488" spans="2:10" ht="15.75" x14ac:dyDescent="0.25">
      <c r="B488" s="80">
        <v>448</v>
      </c>
      <c r="C488" s="33" t="s">
        <v>46</v>
      </c>
      <c r="D488" s="86" t="s">
        <v>11</v>
      </c>
      <c r="E488" s="4">
        <f>(E474+E479+E477+E478+E480)*24</f>
        <v>6.2160000000000002</v>
      </c>
      <c r="F488" s="133" t="s">
        <v>82</v>
      </c>
      <c r="G488" s="134"/>
      <c r="H488" s="134"/>
      <c r="I488" s="135"/>
      <c r="J488" s="98"/>
    </row>
    <row r="489" spans="2:10" ht="32.25" thickBot="1" x14ac:dyDescent="0.3">
      <c r="B489" s="80">
        <v>449</v>
      </c>
      <c r="C489" s="88" t="s">
        <v>47</v>
      </c>
      <c r="D489" s="86" t="s">
        <v>11</v>
      </c>
      <c r="E489" s="4">
        <f>E488</f>
        <v>6.2160000000000002</v>
      </c>
      <c r="F489" s="136" t="s">
        <v>83</v>
      </c>
      <c r="G489" s="137"/>
      <c r="H489" s="137"/>
      <c r="I489" s="138"/>
      <c r="J489" s="98"/>
    </row>
    <row r="490" spans="2:10" ht="32.25" customHeight="1" thickTop="1" thickBot="1" x14ac:dyDescent="0.3">
      <c r="B490" s="109" t="s">
        <v>78</v>
      </c>
      <c r="C490" s="110"/>
      <c r="D490" s="110"/>
      <c r="E490" s="110"/>
      <c r="F490" s="110"/>
      <c r="G490" s="110"/>
      <c r="H490" s="110"/>
      <c r="I490" s="21">
        <v>1</v>
      </c>
      <c r="J490" s="103"/>
    </row>
    <row r="491" spans="2:10" ht="16.5" thickTop="1" x14ac:dyDescent="0.25">
      <c r="B491" s="82">
        <v>450</v>
      </c>
      <c r="C491" s="79" t="s">
        <v>42</v>
      </c>
      <c r="D491" s="77" t="s">
        <v>44</v>
      </c>
      <c r="E491" s="85">
        <f>ROUND(H491*I491/1000,3)</f>
        <v>0.42199999999999999</v>
      </c>
      <c r="F491" s="151" t="s">
        <v>74</v>
      </c>
      <c r="G491" s="152"/>
      <c r="H491" s="36">
        <f>25.9*I490</f>
        <v>25.9</v>
      </c>
      <c r="I491" s="68">
        <v>16.3</v>
      </c>
      <c r="J491" s="98"/>
    </row>
    <row r="492" spans="2:10" ht="15.75" x14ac:dyDescent="0.25">
      <c r="B492" s="113">
        <v>451</v>
      </c>
      <c r="C492" s="115" t="s">
        <v>49</v>
      </c>
      <c r="D492" s="117" t="s">
        <v>44</v>
      </c>
      <c r="E492" s="119">
        <f>ROUND((I492*H492)/1000,3)</f>
        <v>3.5000000000000003E-2</v>
      </c>
      <c r="F492" s="111" t="s">
        <v>45</v>
      </c>
      <c r="G492" s="112"/>
      <c r="H492" s="19">
        <f>58*I490</f>
        <v>58</v>
      </c>
      <c r="I492" s="53">
        <f>ROUND(0.68*0.888,2)</f>
        <v>0.6</v>
      </c>
      <c r="J492" s="98"/>
    </row>
    <row r="493" spans="2:10" ht="15.75" x14ac:dyDescent="0.25">
      <c r="B493" s="114"/>
      <c r="C493" s="116"/>
      <c r="D493" s="118"/>
      <c r="E493" s="120"/>
      <c r="F493" s="127" t="s">
        <v>50</v>
      </c>
      <c r="G493" s="128"/>
      <c r="H493" s="128"/>
      <c r="I493" s="129"/>
      <c r="J493" s="98"/>
    </row>
    <row r="494" spans="2:10" ht="15.75" x14ac:dyDescent="0.25">
      <c r="B494" s="113">
        <v>452</v>
      </c>
      <c r="C494" s="115" t="s">
        <v>141</v>
      </c>
      <c r="D494" s="117" t="s">
        <v>44</v>
      </c>
      <c r="E494" s="119">
        <f>ROUND((I494*H494)/1000,4)</f>
        <v>1E-3</v>
      </c>
      <c r="F494" s="111" t="s">
        <v>94</v>
      </c>
      <c r="G494" s="112"/>
      <c r="H494" s="19">
        <f>8*I490</f>
        <v>8</v>
      </c>
      <c r="I494" s="53">
        <f>ROUND(0.2*0.617,2)</f>
        <v>0.12</v>
      </c>
      <c r="J494" s="98"/>
    </row>
    <row r="495" spans="2:10" ht="15.75" x14ac:dyDescent="0.25">
      <c r="B495" s="130"/>
      <c r="C495" s="116"/>
      <c r="D495" s="118"/>
      <c r="E495" s="120"/>
      <c r="F495" s="127" t="s">
        <v>109</v>
      </c>
      <c r="G495" s="128"/>
      <c r="H495" s="128"/>
      <c r="I495" s="129"/>
      <c r="J495" s="98"/>
    </row>
    <row r="496" spans="2:10" ht="15.75" x14ac:dyDescent="0.25">
      <c r="B496" s="80">
        <v>453</v>
      </c>
      <c r="C496" s="33" t="s">
        <v>54</v>
      </c>
      <c r="D496" s="86" t="s">
        <v>44</v>
      </c>
      <c r="E496" s="86">
        <f>ROUND(H496*I496/1000,3)</f>
        <v>4.0000000000000001E-3</v>
      </c>
      <c r="F496" s="121" t="s">
        <v>5</v>
      </c>
      <c r="G496" s="122"/>
      <c r="H496" s="24">
        <f>8*I490</f>
        <v>8</v>
      </c>
      <c r="I496" s="54">
        <f>ROUND(0.16*0.06*0.006*7850,2)</f>
        <v>0.45</v>
      </c>
      <c r="J496" s="98"/>
    </row>
    <row r="497" spans="2:10" ht="15.75" x14ac:dyDescent="0.25">
      <c r="B497" s="80">
        <v>454</v>
      </c>
      <c r="C497" s="33" t="s">
        <v>55</v>
      </c>
      <c r="D497" s="86" t="s">
        <v>44</v>
      </c>
      <c r="E497" s="86">
        <f>ROUND((H497*I497)/1000,3)</f>
        <v>1.2E-2</v>
      </c>
      <c r="F497" s="121" t="s">
        <v>75</v>
      </c>
      <c r="G497" s="122"/>
      <c r="H497" s="24">
        <f>10*I490</f>
        <v>10</v>
      </c>
      <c r="I497" s="54">
        <f>ROUND(0.21*0.07*0.01*7850,2)</f>
        <v>1.1499999999999999</v>
      </c>
      <c r="J497" s="98"/>
    </row>
    <row r="498" spans="2:10" ht="15.75" x14ac:dyDescent="0.25">
      <c r="B498" s="80">
        <v>455</v>
      </c>
      <c r="C498" s="33" t="s">
        <v>116</v>
      </c>
      <c r="D498" s="86" t="s">
        <v>44</v>
      </c>
      <c r="E498" s="45">
        <f>ROUND(H498*I498/1000,3)</f>
        <v>4.0000000000000001E-3</v>
      </c>
      <c r="F498" s="133" t="s">
        <v>79</v>
      </c>
      <c r="G498" s="134"/>
      <c r="H498" s="22">
        <f>0.6*I490</f>
        <v>0.6</v>
      </c>
      <c r="I498" s="55">
        <f>ROUND(6.89*1,2)</f>
        <v>6.89</v>
      </c>
      <c r="J498" s="98">
        <f>0.6*6.89</f>
        <v>4.1339999999999995</v>
      </c>
    </row>
    <row r="499" spans="2:10" ht="15.75" x14ac:dyDescent="0.25">
      <c r="B499" s="80">
        <v>456</v>
      </c>
      <c r="C499" s="33" t="s">
        <v>48</v>
      </c>
      <c r="D499" s="86" t="s">
        <v>44</v>
      </c>
      <c r="E499" s="89">
        <f>ROUND((I499*H499)/1000,3)</f>
        <v>6.0000000000000001E-3</v>
      </c>
      <c r="F499" s="121" t="s">
        <v>56</v>
      </c>
      <c r="G499" s="122"/>
      <c r="H499" s="28">
        <f>1.96*I490</f>
        <v>1.96</v>
      </c>
      <c r="I499" s="67">
        <v>3.17</v>
      </c>
      <c r="J499" s="98"/>
    </row>
    <row r="500" spans="2:10" ht="15.75" x14ac:dyDescent="0.25">
      <c r="B500" s="80">
        <v>457</v>
      </c>
      <c r="C500" s="88" t="s">
        <v>59</v>
      </c>
      <c r="D500" s="86" t="s">
        <v>10</v>
      </c>
      <c r="E500" s="86">
        <f>8*I490</f>
        <v>8</v>
      </c>
      <c r="F500" s="133" t="s">
        <v>22</v>
      </c>
      <c r="G500" s="134"/>
      <c r="H500" s="134"/>
      <c r="I500" s="135"/>
      <c r="J500" s="98"/>
    </row>
    <row r="501" spans="2:10" ht="15.75" x14ac:dyDescent="0.25">
      <c r="B501" s="80">
        <v>458</v>
      </c>
      <c r="C501" s="88" t="s">
        <v>57</v>
      </c>
      <c r="D501" s="86" t="s">
        <v>10</v>
      </c>
      <c r="E501" s="86">
        <f>8*I490</f>
        <v>8</v>
      </c>
      <c r="F501" s="143" t="s">
        <v>58</v>
      </c>
      <c r="G501" s="143"/>
      <c r="H501" s="143"/>
      <c r="I501" s="144"/>
      <c r="J501" s="104"/>
    </row>
    <row r="502" spans="2:10" ht="15.75" x14ac:dyDescent="0.25">
      <c r="B502" s="80">
        <v>459</v>
      </c>
      <c r="C502" s="33" t="s">
        <v>60</v>
      </c>
      <c r="D502" s="86" t="s">
        <v>44</v>
      </c>
      <c r="E502" s="86">
        <f>ROUND((I502*H502)/1000,3)</f>
        <v>3.4000000000000002E-2</v>
      </c>
      <c r="F502" s="121" t="s">
        <v>61</v>
      </c>
      <c r="G502" s="122"/>
      <c r="H502" s="22">
        <f>21.34*I490</f>
        <v>21.34</v>
      </c>
      <c r="I502" s="55">
        <f>ROUND(1.578,2)</f>
        <v>1.58</v>
      </c>
      <c r="J502" s="98"/>
    </row>
    <row r="503" spans="2:10" ht="15.75" x14ac:dyDescent="0.25">
      <c r="B503" s="80">
        <v>460</v>
      </c>
      <c r="C503" s="33" t="s">
        <v>62</v>
      </c>
      <c r="D503" s="86" t="s">
        <v>27</v>
      </c>
      <c r="E503" s="86">
        <f>0.34*I490</f>
        <v>0.34</v>
      </c>
      <c r="F503" s="121" t="s">
        <v>21</v>
      </c>
      <c r="G503" s="122"/>
      <c r="H503" s="122"/>
      <c r="I503" s="123"/>
      <c r="J503" s="104"/>
    </row>
    <row r="504" spans="2:10" ht="15.75" x14ac:dyDescent="0.25">
      <c r="B504" s="80">
        <v>461</v>
      </c>
      <c r="C504" s="88" t="s">
        <v>81</v>
      </c>
      <c r="D504" s="86" t="s">
        <v>11</v>
      </c>
      <c r="E504" s="4">
        <f>E503/0.16</f>
        <v>2.125</v>
      </c>
      <c r="F504" s="121" t="s">
        <v>22</v>
      </c>
      <c r="G504" s="122"/>
      <c r="H504" s="122"/>
      <c r="I504" s="123"/>
      <c r="J504" s="104"/>
    </row>
    <row r="505" spans="2:10" ht="15.75" x14ac:dyDescent="0.25">
      <c r="B505" s="80">
        <v>462</v>
      </c>
      <c r="C505" s="88" t="s">
        <v>90</v>
      </c>
      <c r="D505" s="86" t="s">
        <v>27</v>
      </c>
      <c r="E505" s="92">
        <f>((0.09*0.01*(0.064+0.01+0.064))*4)*I490</f>
        <v>4.9680000000000004E-4</v>
      </c>
      <c r="F505" s="124" t="s">
        <v>139</v>
      </c>
      <c r="G505" s="125"/>
      <c r="H505" s="125"/>
      <c r="I505" s="126"/>
      <c r="J505" s="105"/>
    </row>
    <row r="506" spans="2:10" ht="15.75" x14ac:dyDescent="0.25">
      <c r="B506" s="80">
        <v>463</v>
      </c>
      <c r="C506" s="33" t="s">
        <v>46</v>
      </c>
      <c r="D506" s="86" t="s">
        <v>11</v>
      </c>
      <c r="E506" s="4">
        <f>(E491+E496+E497+E498)*24</f>
        <v>10.608000000000001</v>
      </c>
      <c r="F506" s="133" t="s">
        <v>82</v>
      </c>
      <c r="G506" s="134"/>
      <c r="H506" s="134"/>
      <c r="I506" s="135"/>
      <c r="J506" s="98"/>
    </row>
    <row r="507" spans="2:10" ht="32.25" thickBot="1" x14ac:dyDescent="0.3">
      <c r="B507" s="80">
        <v>464</v>
      </c>
      <c r="C507" s="88" t="s">
        <v>47</v>
      </c>
      <c r="D507" s="86" t="s">
        <v>11</v>
      </c>
      <c r="E507" s="4">
        <f>E506</f>
        <v>10.608000000000001</v>
      </c>
      <c r="F507" s="136" t="s">
        <v>83</v>
      </c>
      <c r="G507" s="137"/>
      <c r="H507" s="137"/>
      <c r="I507" s="138"/>
      <c r="J507" s="98"/>
    </row>
    <row r="508" spans="2:10" ht="31.5" customHeight="1" thickTop="1" thickBot="1" x14ac:dyDescent="0.3">
      <c r="B508" s="109" t="s">
        <v>130</v>
      </c>
      <c r="C508" s="110"/>
      <c r="D508" s="110"/>
      <c r="E508" s="110"/>
      <c r="F508" s="110"/>
      <c r="G508" s="110"/>
      <c r="H508" s="110"/>
      <c r="I508" s="21">
        <v>1</v>
      </c>
      <c r="J508" s="103"/>
    </row>
    <row r="509" spans="2:10" ht="16.5" thickTop="1" x14ac:dyDescent="0.25">
      <c r="B509" s="82">
        <v>465</v>
      </c>
      <c r="C509" s="79" t="s">
        <v>42</v>
      </c>
      <c r="D509" s="77" t="s">
        <v>44</v>
      </c>
      <c r="E509" s="85">
        <f>ROUND(H509*I509/1000,3)</f>
        <v>0.47399999999999998</v>
      </c>
      <c r="F509" s="127" t="s">
        <v>51</v>
      </c>
      <c r="G509" s="128"/>
      <c r="H509" s="30">
        <f>33.37*I508</f>
        <v>33.369999999999997</v>
      </c>
      <c r="I509" s="61">
        <v>14.2</v>
      </c>
      <c r="J509" s="98"/>
    </row>
    <row r="510" spans="2:10" ht="15.75" x14ac:dyDescent="0.25">
      <c r="B510" s="113">
        <v>466</v>
      </c>
      <c r="C510" s="115" t="s">
        <v>49</v>
      </c>
      <c r="D510" s="117" t="s">
        <v>44</v>
      </c>
      <c r="E510" s="119">
        <f>ROUND((I510*H510)/1000,3)</f>
        <v>7.5999999999999998E-2</v>
      </c>
      <c r="F510" s="151" t="s">
        <v>45</v>
      </c>
      <c r="G510" s="152"/>
      <c r="H510" s="26">
        <f>126*I508</f>
        <v>126</v>
      </c>
      <c r="I510" s="52">
        <f>ROUND(0.68*0.888,2)</f>
        <v>0.6</v>
      </c>
      <c r="J510" s="98"/>
    </row>
    <row r="511" spans="2:10" ht="15.75" x14ac:dyDescent="0.25">
      <c r="B511" s="114"/>
      <c r="C511" s="116"/>
      <c r="D511" s="118"/>
      <c r="E511" s="120"/>
      <c r="F511" s="127" t="s">
        <v>50</v>
      </c>
      <c r="G511" s="128"/>
      <c r="H511" s="128"/>
      <c r="I511" s="129"/>
      <c r="J511" s="98"/>
    </row>
    <row r="512" spans="2:10" ht="15.75" x14ac:dyDescent="0.25">
      <c r="B512" s="113">
        <v>467</v>
      </c>
      <c r="C512" s="115" t="s">
        <v>68</v>
      </c>
      <c r="D512" s="117" t="s">
        <v>44</v>
      </c>
      <c r="E512" s="119">
        <f>ROUND((H512*I512)/1000,3)</f>
        <v>1E-3</v>
      </c>
      <c r="F512" s="111" t="s">
        <v>52</v>
      </c>
      <c r="G512" s="112"/>
      <c r="H512" s="19">
        <f>2*I508</f>
        <v>2</v>
      </c>
      <c r="I512" s="53">
        <f>ROUND(0.55*0.617,2)</f>
        <v>0.34</v>
      </c>
      <c r="J512" s="98"/>
    </row>
    <row r="513" spans="2:10" ht="15.75" x14ac:dyDescent="0.25">
      <c r="B513" s="130"/>
      <c r="C513" s="163"/>
      <c r="D513" s="131"/>
      <c r="E513" s="132"/>
      <c r="F513" s="127" t="s">
        <v>53</v>
      </c>
      <c r="G513" s="128"/>
      <c r="H513" s="128"/>
      <c r="I513" s="129"/>
      <c r="J513" s="98"/>
    </row>
    <row r="514" spans="2:10" ht="15.75" x14ac:dyDescent="0.25">
      <c r="B514" s="113">
        <v>468</v>
      </c>
      <c r="C514" s="115" t="s">
        <v>141</v>
      </c>
      <c r="D514" s="117" t="s">
        <v>44</v>
      </c>
      <c r="E514" s="155">
        <f>ROUND((I514*H514)/1000,4)</f>
        <v>2.0000000000000001E-4</v>
      </c>
      <c r="F514" s="111" t="s">
        <v>94</v>
      </c>
      <c r="G514" s="112"/>
      <c r="H514" s="19">
        <f>2*I508</f>
        <v>2</v>
      </c>
      <c r="I514" s="53">
        <f>ROUND(0.2*0.617,2)</f>
        <v>0.12</v>
      </c>
      <c r="J514" s="98"/>
    </row>
    <row r="515" spans="2:10" ht="15.75" x14ac:dyDescent="0.25">
      <c r="B515" s="130"/>
      <c r="C515" s="116"/>
      <c r="D515" s="118"/>
      <c r="E515" s="166"/>
      <c r="F515" s="127" t="s">
        <v>109</v>
      </c>
      <c r="G515" s="128"/>
      <c r="H515" s="128"/>
      <c r="I515" s="129"/>
      <c r="J515" s="98"/>
    </row>
    <row r="516" spans="2:10" ht="15.75" x14ac:dyDescent="0.25">
      <c r="B516" s="80">
        <v>469</v>
      </c>
      <c r="C516" s="33" t="s">
        <v>54</v>
      </c>
      <c r="D516" s="86" t="s">
        <v>44</v>
      </c>
      <c r="E516" s="86">
        <f>ROUND(H516*I516/1000,3)</f>
        <v>6.0000000000000001E-3</v>
      </c>
      <c r="F516" s="121" t="s">
        <v>5</v>
      </c>
      <c r="G516" s="122"/>
      <c r="H516" s="24">
        <f>14*I508</f>
        <v>14</v>
      </c>
      <c r="I516" s="54">
        <f>ROUND(0.16*0.06*0.006*7850,2)</f>
        <v>0.45</v>
      </c>
      <c r="J516" s="98"/>
    </row>
    <row r="517" spans="2:10" ht="15.75" x14ac:dyDescent="0.25">
      <c r="B517" s="80">
        <v>470</v>
      </c>
      <c r="C517" s="33" t="s">
        <v>55</v>
      </c>
      <c r="D517" s="86" t="s">
        <v>44</v>
      </c>
      <c r="E517" s="86">
        <f>ROUND((H517*I517)/1000,3)</f>
        <v>1.4999999999999999E-2</v>
      </c>
      <c r="F517" s="121" t="s">
        <v>4</v>
      </c>
      <c r="G517" s="122"/>
      <c r="H517" s="24">
        <f>14*I508</f>
        <v>14</v>
      </c>
      <c r="I517" s="54">
        <f>ROUND(0.19*0.07*0.01*7850,2)</f>
        <v>1.04</v>
      </c>
      <c r="J517" s="98"/>
    </row>
    <row r="518" spans="2:10" ht="15.75" x14ac:dyDescent="0.25">
      <c r="B518" s="80">
        <v>471</v>
      </c>
      <c r="C518" s="33" t="s">
        <v>80</v>
      </c>
      <c r="D518" s="86" t="s">
        <v>44</v>
      </c>
      <c r="E518" s="45">
        <f>ROUND(H518*I518/1000,3)</f>
        <v>6.0000000000000001E-3</v>
      </c>
      <c r="F518" s="133" t="s">
        <v>89</v>
      </c>
      <c r="G518" s="134"/>
      <c r="H518" s="22">
        <f>1.55*I508</f>
        <v>1.55</v>
      </c>
      <c r="I518" s="55">
        <f>ROUND(3.77*1,2)</f>
        <v>3.77</v>
      </c>
      <c r="J518" s="98">
        <f>3.77*1.55</f>
        <v>5.8435000000000006</v>
      </c>
    </row>
    <row r="519" spans="2:10" ht="15.75" x14ac:dyDescent="0.25">
      <c r="B519" s="80">
        <v>472</v>
      </c>
      <c r="C519" s="33" t="s">
        <v>111</v>
      </c>
      <c r="D519" s="86" t="s">
        <v>44</v>
      </c>
      <c r="E519" s="86">
        <f>ROUND(H519*I519/1000,3)</f>
        <v>2.5000000000000001E-2</v>
      </c>
      <c r="F519" s="121" t="s">
        <v>72</v>
      </c>
      <c r="G519" s="122"/>
      <c r="H519" s="28">
        <f>0.54*I508</f>
        <v>0.54</v>
      </c>
      <c r="I519" s="67">
        <v>47.1</v>
      </c>
      <c r="J519" s="98">
        <f>0.54*47.1</f>
        <v>25.434000000000001</v>
      </c>
    </row>
    <row r="520" spans="2:10" ht="15.75" x14ac:dyDescent="0.25">
      <c r="B520" s="80">
        <v>473</v>
      </c>
      <c r="C520" s="33" t="s">
        <v>48</v>
      </c>
      <c r="D520" s="86" t="s">
        <v>44</v>
      </c>
      <c r="E520" s="89">
        <f>ROUND((I520*H520)/1000,3)</f>
        <v>3.2000000000000001E-2</v>
      </c>
      <c r="F520" s="121" t="s">
        <v>56</v>
      </c>
      <c r="G520" s="122"/>
      <c r="H520" s="28">
        <f>10.2*I508</f>
        <v>10.199999999999999</v>
      </c>
      <c r="I520" s="67">
        <v>3.17</v>
      </c>
      <c r="J520" s="98"/>
    </row>
    <row r="521" spans="2:10" ht="15.75" x14ac:dyDescent="0.25">
      <c r="B521" s="80">
        <v>474</v>
      </c>
      <c r="C521" s="88" t="s">
        <v>59</v>
      </c>
      <c r="D521" s="86" t="s">
        <v>10</v>
      </c>
      <c r="E521" s="86">
        <f>14*I508</f>
        <v>14</v>
      </c>
      <c r="F521" s="133" t="s">
        <v>22</v>
      </c>
      <c r="G521" s="134"/>
      <c r="H521" s="134"/>
      <c r="I521" s="135"/>
      <c r="J521" s="98"/>
    </row>
    <row r="522" spans="2:10" ht="15.75" x14ac:dyDescent="0.25">
      <c r="B522" s="80">
        <v>475</v>
      </c>
      <c r="C522" s="88" t="s">
        <v>57</v>
      </c>
      <c r="D522" s="86" t="s">
        <v>10</v>
      </c>
      <c r="E522" s="86">
        <f>14*I508</f>
        <v>14</v>
      </c>
      <c r="F522" s="143" t="s">
        <v>58</v>
      </c>
      <c r="G522" s="143"/>
      <c r="H522" s="143"/>
      <c r="I522" s="144"/>
      <c r="J522" s="104"/>
    </row>
    <row r="523" spans="2:10" ht="15.75" x14ac:dyDescent="0.25">
      <c r="B523" s="80">
        <v>476</v>
      </c>
      <c r="C523" s="33" t="s">
        <v>60</v>
      </c>
      <c r="D523" s="86" t="s">
        <v>44</v>
      </c>
      <c r="E523" s="86">
        <f>ROUND((I523*H523)/1000,3)</f>
        <v>0.16600000000000001</v>
      </c>
      <c r="F523" s="121" t="s">
        <v>61</v>
      </c>
      <c r="G523" s="122"/>
      <c r="H523" s="22">
        <f>104.84*I508</f>
        <v>104.84</v>
      </c>
      <c r="I523" s="55">
        <f>ROUND(1.578,2)</f>
        <v>1.58</v>
      </c>
      <c r="J523" s="98"/>
    </row>
    <row r="524" spans="2:10" ht="15.75" x14ac:dyDescent="0.25">
      <c r="B524" s="80">
        <v>477</v>
      </c>
      <c r="C524" s="33" t="s">
        <v>62</v>
      </c>
      <c r="D524" s="86" t="s">
        <v>27</v>
      </c>
      <c r="E524" s="86">
        <f>1.89*I508</f>
        <v>1.89</v>
      </c>
      <c r="F524" s="121" t="s">
        <v>21</v>
      </c>
      <c r="G524" s="122"/>
      <c r="H524" s="122"/>
      <c r="I524" s="123"/>
      <c r="J524" s="104"/>
    </row>
    <row r="525" spans="2:10" ht="15.75" x14ac:dyDescent="0.25">
      <c r="B525" s="80">
        <v>478</v>
      </c>
      <c r="C525" s="88" t="s">
        <v>81</v>
      </c>
      <c r="D525" s="86" t="s">
        <v>11</v>
      </c>
      <c r="E525" s="4">
        <f>E524/0.16</f>
        <v>11.8125</v>
      </c>
      <c r="F525" s="121" t="s">
        <v>22</v>
      </c>
      <c r="G525" s="122"/>
      <c r="H525" s="122"/>
      <c r="I525" s="123"/>
      <c r="J525" s="104"/>
    </row>
    <row r="526" spans="2:10" ht="15.75" x14ac:dyDescent="0.25">
      <c r="B526" s="80">
        <v>479</v>
      </c>
      <c r="C526" s="88" t="s">
        <v>90</v>
      </c>
      <c r="D526" s="86" t="s">
        <v>27</v>
      </c>
      <c r="E526" s="92">
        <f>(((0.09*0.01*(0.064+0.01+0.064))*4)+((0.09*0.01*0.064)*4))*I508</f>
        <v>7.272E-4</v>
      </c>
      <c r="F526" s="124" t="s">
        <v>139</v>
      </c>
      <c r="G526" s="125"/>
      <c r="H526" s="125"/>
      <c r="I526" s="126"/>
      <c r="J526" s="105"/>
    </row>
    <row r="527" spans="2:10" ht="15.75" x14ac:dyDescent="0.25">
      <c r="B527" s="80">
        <v>480</v>
      </c>
      <c r="C527" s="33" t="s">
        <v>46</v>
      </c>
      <c r="D527" s="86" t="s">
        <v>11</v>
      </c>
      <c r="E527" s="4">
        <f>(E509+E516+E517+E518+E519)*24</f>
        <v>12.624000000000001</v>
      </c>
      <c r="F527" s="133" t="s">
        <v>82</v>
      </c>
      <c r="G527" s="134"/>
      <c r="H527" s="134"/>
      <c r="I527" s="135"/>
      <c r="J527" s="98"/>
    </row>
    <row r="528" spans="2:10" ht="32.25" thickBot="1" x14ac:dyDescent="0.3">
      <c r="B528" s="80">
        <v>481</v>
      </c>
      <c r="C528" s="88" t="s">
        <v>47</v>
      </c>
      <c r="D528" s="86" t="s">
        <v>11</v>
      </c>
      <c r="E528" s="4">
        <f>E527</f>
        <v>12.624000000000001</v>
      </c>
      <c r="F528" s="136" t="s">
        <v>83</v>
      </c>
      <c r="G528" s="137"/>
      <c r="H528" s="137"/>
      <c r="I528" s="138"/>
      <c r="J528" s="98"/>
    </row>
    <row r="529" spans="2:10" ht="28.5" customHeight="1" thickTop="1" thickBot="1" x14ac:dyDescent="0.3">
      <c r="B529" s="109" t="s">
        <v>131</v>
      </c>
      <c r="C529" s="110"/>
      <c r="D529" s="110"/>
      <c r="E529" s="110"/>
      <c r="F529" s="110"/>
      <c r="G529" s="110"/>
      <c r="H529" s="110"/>
      <c r="I529" s="21">
        <v>1</v>
      </c>
      <c r="J529" s="103"/>
    </row>
    <row r="530" spans="2:10" ht="16.5" thickTop="1" x14ac:dyDescent="0.25">
      <c r="B530" s="82">
        <v>482</v>
      </c>
      <c r="C530" s="79" t="s">
        <v>42</v>
      </c>
      <c r="D530" s="77" t="s">
        <v>44</v>
      </c>
      <c r="E530" s="85">
        <f>ROUND(H530*I530/1000,3)</f>
        <v>0.19900000000000001</v>
      </c>
      <c r="F530" s="111" t="s">
        <v>51</v>
      </c>
      <c r="G530" s="112"/>
      <c r="H530" s="39">
        <f>14.04*I529</f>
        <v>14.04</v>
      </c>
      <c r="I530" s="95">
        <v>14.2</v>
      </c>
      <c r="J530" s="98"/>
    </row>
    <row r="531" spans="2:10" ht="15.75" x14ac:dyDescent="0.25">
      <c r="B531" s="113">
        <v>483</v>
      </c>
      <c r="C531" s="115" t="s">
        <v>49</v>
      </c>
      <c r="D531" s="117" t="s">
        <v>44</v>
      </c>
      <c r="E531" s="119">
        <f>ROUND((I531*H531)/1000,3)</f>
        <v>4.3999999999999997E-2</v>
      </c>
      <c r="F531" s="111" t="s">
        <v>45</v>
      </c>
      <c r="G531" s="112"/>
      <c r="H531" s="19">
        <f>74*I529</f>
        <v>74</v>
      </c>
      <c r="I531" s="53">
        <f>ROUND(0.68*0.888,2)</f>
        <v>0.6</v>
      </c>
      <c r="J531" s="98"/>
    </row>
    <row r="532" spans="2:10" ht="15.75" x14ac:dyDescent="0.25">
      <c r="B532" s="114"/>
      <c r="C532" s="116"/>
      <c r="D532" s="118"/>
      <c r="E532" s="120"/>
      <c r="F532" s="127" t="s">
        <v>50</v>
      </c>
      <c r="G532" s="128"/>
      <c r="H532" s="128"/>
      <c r="I532" s="129"/>
      <c r="J532" s="98"/>
    </row>
    <row r="533" spans="2:10" ht="15.75" x14ac:dyDescent="0.25">
      <c r="B533" s="80">
        <v>484</v>
      </c>
      <c r="C533" s="33" t="s">
        <v>54</v>
      </c>
      <c r="D533" s="86" t="s">
        <v>44</v>
      </c>
      <c r="E533" s="86">
        <f>ROUND(H533*I533/1000,3)</f>
        <v>3.0000000000000001E-3</v>
      </c>
      <c r="F533" s="121" t="s">
        <v>5</v>
      </c>
      <c r="G533" s="122"/>
      <c r="H533" s="24">
        <f>6*I529</f>
        <v>6</v>
      </c>
      <c r="I533" s="54">
        <f>ROUND(0.16*0.06*0.006*7850,2)</f>
        <v>0.45</v>
      </c>
      <c r="J533" s="98"/>
    </row>
    <row r="534" spans="2:10" ht="15.75" x14ac:dyDescent="0.25">
      <c r="B534" s="80">
        <v>485</v>
      </c>
      <c r="C534" s="33" t="s">
        <v>117</v>
      </c>
      <c r="D534" s="86" t="s">
        <v>44</v>
      </c>
      <c r="E534" s="86">
        <f>ROUND(H534*I534/1000,3)</f>
        <v>3.0000000000000001E-3</v>
      </c>
      <c r="F534" s="121" t="s">
        <v>71</v>
      </c>
      <c r="G534" s="122"/>
      <c r="H534" s="24">
        <f>4*I529</f>
        <v>4</v>
      </c>
      <c r="I534" s="54">
        <f>ROUND(6.89*0.1,2)</f>
        <v>0.69</v>
      </c>
      <c r="J534" s="98"/>
    </row>
    <row r="535" spans="2:10" ht="15.75" x14ac:dyDescent="0.25">
      <c r="B535" s="80">
        <v>486</v>
      </c>
      <c r="C535" s="33" t="s">
        <v>116</v>
      </c>
      <c r="D535" s="86" t="s">
        <v>44</v>
      </c>
      <c r="E535" s="86">
        <f>ROUND(H535*I535/1000,3)</f>
        <v>2E-3</v>
      </c>
      <c r="F535" s="111" t="s">
        <v>79</v>
      </c>
      <c r="G535" s="112"/>
      <c r="H535" s="39">
        <f>0.31*I529</f>
        <v>0.31</v>
      </c>
      <c r="I535" s="95">
        <f>ROUND(6.89*1,2)</f>
        <v>6.89</v>
      </c>
      <c r="J535" s="98">
        <f>0.31*6.89</f>
        <v>2.1358999999999999</v>
      </c>
    </row>
    <row r="536" spans="2:10" ht="15.75" x14ac:dyDescent="0.25">
      <c r="B536" s="113">
        <v>487</v>
      </c>
      <c r="C536" s="145" t="s">
        <v>80</v>
      </c>
      <c r="D536" s="117" t="s">
        <v>44</v>
      </c>
      <c r="E536" s="191">
        <f>ROUND(H536*I536/1000,3)+ROUND(H537*I537/1000,3)</f>
        <v>2.4999999999999998E-2</v>
      </c>
      <c r="F536" s="111" t="s">
        <v>89</v>
      </c>
      <c r="G536" s="112"/>
      <c r="H536" s="39">
        <f>1.75*I529</f>
        <v>1.75</v>
      </c>
      <c r="I536" s="95">
        <f>ROUND(3.77*1,2)</f>
        <v>3.77</v>
      </c>
      <c r="J536" s="98">
        <f>1.75*3.77</f>
        <v>6.5975000000000001</v>
      </c>
    </row>
    <row r="537" spans="2:10" ht="15.75" x14ac:dyDescent="0.25">
      <c r="B537" s="114"/>
      <c r="C537" s="146"/>
      <c r="D537" s="118"/>
      <c r="E537" s="192"/>
      <c r="F537" s="139" t="s">
        <v>72</v>
      </c>
      <c r="G537" s="140"/>
      <c r="H537" s="69">
        <f>0.38*I529</f>
        <v>0.38</v>
      </c>
      <c r="I537" s="96">
        <v>47.1</v>
      </c>
      <c r="J537" s="98">
        <f>0.38*47.1</f>
        <v>17.898</v>
      </c>
    </row>
    <row r="538" spans="2:10" ht="15.75" x14ac:dyDescent="0.25">
      <c r="B538" s="80">
        <v>488</v>
      </c>
      <c r="C538" s="33" t="s">
        <v>48</v>
      </c>
      <c r="D538" s="86" t="s">
        <v>44</v>
      </c>
      <c r="E538" s="89">
        <f>ROUND((I538*H538)/1000,3)</f>
        <v>1.0999999999999999E-2</v>
      </c>
      <c r="F538" s="121" t="s">
        <v>56</v>
      </c>
      <c r="G538" s="122"/>
      <c r="H538" s="28">
        <f>3.37*I529</f>
        <v>3.37</v>
      </c>
      <c r="I538" s="67">
        <v>3.17</v>
      </c>
      <c r="J538" s="98"/>
    </row>
    <row r="539" spans="2:10" ht="15.75" x14ac:dyDescent="0.25">
      <c r="B539" s="80">
        <v>489</v>
      </c>
      <c r="C539" s="88" t="s">
        <v>59</v>
      </c>
      <c r="D539" s="86" t="s">
        <v>10</v>
      </c>
      <c r="E539" s="86">
        <f>6*I529</f>
        <v>6</v>
      </c>
      <c r="F539" s="133" t="s">
        <v>22</v>
      </c>
      <c r="G539" s="134"/>
      <c r="H539" s="134"/>
      <c r="I539" s="135"/>
      <c r="J539" s="98"/>
    </row>
    <row r="540" spans="2:10" ht="15.75" x14ac:dyDescent="0.25">
      <c r="B540" s="80">
        <v>490</v>
      </c>
      <c r="C540" s="88" t="s">
        <v>57</v>
      </c>
      <c r="D540" s="86" t="s">
        <v>10</v>
      </c>
      <c r="E540" s="86">
        <f>6*I529</f>
        <v>6</v>
      </c>
      <c r="F540" s="143" t="s">
        <v>58</v>
      </c>
      <c r="G540" s="143"/>
      <c r="H540" s="143"/>
      <c r="I540" s="144"/>
      <c r="J540" s="104"/>
    </row>
    <row r="541" spans="2:10" ht="15.75" x14ac:dyDescent="0.25">
      <c r="B541" s="80">
        <v>491</v>
      </c>
      <c r="C541" s="33" t="s">
        <v>60</v>
      </c>
      <c r="D541" s="86" t="s">
        <v>44</v>
      </c>
      <c r="E541" s="86">
        <f>ROUND((I541*H541)/1000,3)</f>
        <v>5.7000000000000002E-2</v>
      </c>
      <c r="F541" s="121" t="s">
        <v>61</v>
      </c>
      <c r="G541" s="122"/>
      <c r="H541" s="22">
        <f>35.81*I529</f>
        <v>35.81</v>
      </c>
      <c r="I541" s="55">
        <f>ROUND(1.578,2)</f>
        <v>1.58</v>
      </c>
      <c r="J541" s="98"/>
    </row>
    <row r="542" spans="2:10" ht="15.75" x14ac:dyDescent="0.25">
      <c r="B542" s="80">
        <v>492</v>
      </c>
      <c r="C542" s="33" t="s">
        <v>62</v>
      </c>
      <c r="D542" s="86" t="s">
        <v>27</v>
      </c>
      <c r="E542" s="86">
        <f>0.67*I529</f>
        <v>0.67</v>
      </c>
      <c r="F542" s="121" t="s">
        <v>21</v>
      </c>
      <c r="G542" s="122"/>
      <c r="H542" s="122"/>
      <c r="I542" s="123"/>
      <c r="J542" s="104"/>
    </row>
    <row r="543" spans="2:10" ht="15.75" x14ac:dyDescent="0.25">
      <c r="B543" s="80">
        <v>493</v>
      </c>
      <c r="C543" s="88" t="s">
        <v>81</v>
      </c>
      <c r="D543" s="86" t="s">
        <v>11</v>
      </c>
      <c r="E543" s="4">
        <f>E542/0.16</f>
        <v>4.1875</v>
      </c>
      <c r="F543" s="121" t="s">
        <v>22</v>
      </c>
      <c r="G543" s="122"/>
      <c r="H543" s="122"/>
      <c r="I543" s="123"/>
      <c r="J543" s="104"/>
    </row>
    <row r="544" spans="2:10" ht="15.75" x14ac:dyDescent="0.25">
      <c r="B544" s="80">
        <v>494</v>
      </c>
      <c r="C544" s="88" t="s">
        <v>90</v>
      </c>
      <c r="D544" s="86" t="s">
        <v>27</v>
      </c>
      <c r="E544" s="92">
        <f>((0.09*0.01*0.435)+((0.09*0.01*0.064)*3))*I529</f>
        <v>5.643E-4</v>
      </c>
      <c r="F544" s="124" t="s">
        <v>139</v>
      </c>
      <c r="G544" s="125"/>
      <c r="H544" s="125"/>
      <c r="I544" s="126"/>
      <c r="J544" s="105"/>
    </row>
    <row r="545" spans="2:10" ht="15.75" x14ac:dyDescent="0.25">
      <c r="B545" s="80">
        <v>495</v>
      </c>
      <c r="C545" s="33" t="s">
        <v>46</v>
      </c>
      <c r="D545" s="86" t="s">
        <v>11</v>
      </c>
      <c r="E545" s="4">
        <f>(E530+E533+E534+E535+E536)*24</f>
        <v>5.5680000000000005</v>
      </c>
      <c r="F545" s="133" t="s">
        <v>82</v>
      </c>
      <c r="G545" s="134"/>
      <c r="H545" s="134"/>
      <c r="I545" s="135"/>
      <c r="J545" s="98"/>
    </row>
    <row r="546" spans="2:10" ht="32.25" thickBot="1" x14ac:dyDescent="0.3">
      <c r="B546" s="80">
        <v>496</v>
      </c>
      <c r="C546" s="88" t="s">
        <v>47</v>
      </c>
      <c r="D546" s="86" t="s">
        <v>11</v>
      </c>
      <c r="E546" s="4">
        <f>E545</f>
        <v>5.5680000000000005</v>
      </c>
      <c r="F546" s="136" t="s">
        <v>83</v>
      </c>
      <c r="G546" s="137"/>
      <c r="H546" s="137"/>
      <c r="I546" s="138"/>
      <c r="J546" s="98"/>
    </row>
    <row r="547" spans="2:10" ht="31.5" customHeight="1" thickTop="1" thickBot="1" x14ac:dyDescent="0.3">
      <c r="B547" s="109" t="s">
        <v>132</v>
      </c>
      <c r="C547" s="110"/>
      <c r="D547" s="110"/>
      <c r="E547" s="110"/>
      <c r="F547" s="110"/>
      <c r="G547" s="110"/>
      <c r="H547" s="110"/>
      <c r="I547" s="21">
        <v>1</v>
      </c>
      <c r="J547" s="103"/>
    </row>
    <row r="548" spans="2:10" ht="16.5" thickTop="1" x14ac:dyDescent="0.25">
      <c r="B548" s="82">
        <v>497</v>
      </c>
      <c r="C548" s="79" t="s">
        <v>42</v>
      </c>
      <c r="D548" s="77" t="s">
        <v>44</v>
      </c>
      <c r="E548" s="85">
        <f>ROUND(H548*I548/1000,3)</f>
        <v>0.20899999999999999</v>
      </c>
      <c r="F548" s="111" t="s">
        <v>51</v>
      </c>
      <c r="G548" s="112"/>
      <c r="H548" s="39">
        <f>14.74*I547</f>
        <v>14.74</v>
      </c>
      <c r="I548" s="95">
        <v>14.2</v>
      </c>
      <c r="J548" s="98"/>
    </row>
    <row r="549" spans="2:10" ht="15.75" x14ac:dyDescent="0.25">
      <c r="B549" s="113">
        <v>498</v>
      </c>
      <c r="C549" s="115" t="s">
        <v>49</v>
      </c>
      <c r="D549" s="117" t="s">
        <v>44</v>
      </c>
      <c r="E549" s="119">
        <f>ROUND((I549*H549)/1000,3)</f>
        <v>2.5999999999999999E-2</v>
      </c>
      <c r="F549" s="111" t="s">
        <v>45</v>
      </c>
      <c r="G549" s="112"/>
      <c r="H549" s="19">
        <f>44*I547</f>
        <v>44</v>
      </c>
      <c r="I549" s="53">
        <f>ROUND(0.68*0.888,2)</f>
        <v>0.6</v>
      </c>
      <c r="J549" s="98"/>
    </row>
    <row r="550" spans="2:10" ht="15.75" x14ac:dyDescent="0.25">
      <c r="B550" s="114"/>
      <c r="C550" s="116"/>
      <c r="D550" s="118"/>
      <c r="E550" s="120"/>
      <c r="F550" s="127" t="s">
        <v>50</v>
      </c>
      <c r="G550" s="128"/>
      <c r="H550" s="128"/>
      <c r="I550" s="129"/>
      <c r="J550" s="98"/>
    </row>
    <row r="551" spans="2:10" ht="15.75" x14ac:dyDescent="0.25">
      <c r="B551" s="80">
        <v>499</v>
      </c>
      <c r="C551" s="33" t="s">
        <v>54</v>
      </c>
      <c r="D551" s="86" t="s">
        <v>44</v>
      </c>
      <c r="E551" s="86">
        <f>ROUND(H551*I551/1000,3)</f>
        <v>4.0000000000000001E-3</v>
      </c>
      <c r="F551" s="121" t="s">
        <v>5</v>
      </c>
      <c r="G551" s="122"/>
      <c r="H551" s="24">
        <f>8*I547</f>
        <v>8</v>
      </c>
      <c r="I551" s="54">
        <f>ROUND(0.16*0.06*0.006*7850,2)</f>
        <v>0.45</v>
      </c>
      <c r="J551" s="98"/>
    </row>
    <row r="552" spans="2:10" ht="15.75" x14ac:dyDescent="0.25">
      <c r="B552" s="80">
        <v>500</v>
      </c>
      <c r="C552" s="33" t="s">
        <v>70</v>
      </c>
      <c r="D552" s="86" t="s">
        <v>44</v>
      </c>
      <c r="E552" s="86">
        <f>ROUND(H552*I552/1000,3)</f>
        <v>3.0000000000000001E-3</v>
      </c>
      <c r="F552" s="121" t="s">
        <v>71</v>
      </c>
      <c r="G552" s="122"/>
      <c r="H552" s="24">
        <f>4*I547</f>
        <v>4</v>
      </c>
      <c r="I552" s="54">
        <f>ROUND(6.89*0.1,2)</f>
        <v>0.69</v>
      </c>
      <c r="J552" s="98"/>
    </row>
    <row r="553" spans="2:10" ht="15.75" x14ac:dyDescent="0.25">
      <c r="B553" s="80">
        <v>501</v>
      </c>
      <c r="C553" s="33" t="s">
        <v>116</v>
      </c>
      <c r="D553" s="86" t="s">
        <v>44</v>
      </c>
      <c r="E553" s="86">
        <f>ROUND(H553*I553/1000,3)</f>
        <v>4.0000000000000001E-3</v>
      </c>
      <c r="F553" s="133" t="s">
        <v>89</v>
      </c>
      <c r="G553" s="134"/>
      <c r="H553" s="22">
        <f>1.14*I547</f>
        <v>1.1399999999999999</v>
      </c>
      <c r="I553" s="55">
        <f>ROUND(3.77*1,2)</f>
        <v>3.77</v>
      </c>
      <c r="J553" s="98">
        <f>1.14*3.77</f>
        <v>4.2977999999999996</v>
      </c>
    </row>
    <row r="554" spans="2:10" ht="15.75" x14ac:dyDescent="0.25">
      <c r="B554" s="80">
        <v>502</v>
      </c>
      <c r="C554" s="33" t="s">
        <v>111</v>
      </c>
      <c r="D554" s="86" t="s">
        <v>44</v>
      </c>
      <c r="E554" s="86">
        <f>ROUND(H554*I554/1000,3)</f>
        <v>4.1000000000000002E-2</v>
      </c>
      <c r="F554" s="121" t="s">
        <v>72</v>
      </c>
      <c r="G554" s="122"/>
      <c r="H554" s="28">
        <f>0.86*I547</f>
        <v>0.86</v>
      </c>
      <c r="I554" s="67">
        <v>47.1</v>
      </c>
      <c r="J554" s="98">
        <f>0.86*47.1</f>
        <v>40.506</v>
      </c>
    </row>
    <row r="555" spans="2:10" ht="15.75" x14ac:dyDescent="0.25">
      <c r="B555" s="80">
        <v>503</v>
      </c>
      <c r="C555" s="33" t="s">
        <v>48</v>
      </c>
      <c r="D555" s="86" t="s">
        <v>44</v>
      </c>
      <c r="E555" s="89">
        <f>ROUND((I555*H555)/1000,3)</f>
        <v>7.0000000000000001E-3</v>
      </c>
      <c r="F555" s="121" t="s">
        <v>56</v>
      </c>
      <c r="G555" s="122"/>
      <c r="H555" s="28">
        <f>2.21*I547</f>
        <v>2.21</v>
      </c>
      <c r="I555" s="67">
        <v>3.17</v>
      </c>
      <c r="J555" s="98"/>
    </row>
    <row r="556" spans="2:10" ht="15.75" x14ac:dyDescent="0.25">
      <c r="B556" s="80">
        <v>504</v>
      </c>
      <c r="C556" s="88" t="s">
        <v>59</v>
      </c>
      <c r="D556" s="86" t="s">
        <v>10</v>
      </c>
      <c r="E556" s="86">
        <f>8*I547</f>
        <v>8</v>
      </c>
      <c r="F556" s="133" t="s">
        <v>22</v>
      </c>
      <c r="G556" s="134"/>
      <c r="H556" s="134"/>
      <c r="I556" s="135"/>
      <c r="J556" s="98"/>
    </row>
    <row r="557" spans="2:10" ht="15.75" x14ac:dyDescent="0.25">
      <c r="B557" s="80">
        <v>505</v>
      </c>
      <c r="C557" s="88" t="s">
        <v>57</v>
      </c>
      <c r="D557" s="86" t="s">
        <v>10</v>
      </c>
      <c r="E557" s="86">
        <f>8*I547</f>
        <v>8</v>
      </c>
      <c r="F557" s="143" t="s">
        <v>58</v>
      </c>
      <c r="G557" s="143"/>
      <c r="H557" s="143"/>
      <c r="I557" s="144"/>
      <c r="J557" s="104"/>
    </row>
    <row r="558" spans="2:10" ht="15.75" x14ac:dyDescent="0.25">
      <c r="B558" s="80">
        <v>506</v>
      </c>
      <c r="C558" s="33" t="s">
        <v>60</v>
      </c>
      <c r="D558" s="86" t="s">
        <v>44</v>
      </c>
      <c r="E558" s="86">
        <f>ROUND((I558*H558)/1000,3)</f>
        <v>4.1000000000000002E-2</v>
      </c>
      <c r="F558" s="121" t="s">
        <v>61</v>
      </c>
      <c r="G558" s="122"/>
      <c r="H558" s="22">
        <f>25.76*I547</f>
        <v>25.76</v>
      </c>
      <c r="I558" s="55">
        <f>ROUND(1.578,2)</f>
        <v>1.58</v>
      </c>
      <c r="J558" s="98"/>
    </row>
    <row r="559" spans="2:10" ht="15.75" x14ac:dyDescent="0.25">
      <c r="B559" s="80">
        <v>507</v>
      </c>
      <c r="C559" s="33" t="s">
        <v>62</v>
      </c>
      <c r="D559" s="86" t="s">
        <v>27</v>
      </c>
      <c r="E559" s="86">
        <f>0.54*I547</f>
        <v>0.54</v>
      </c>
      <c r="F559" s="121" t="s">
        <v>21</v>
      </c>
      <c r="G559" s="122"/>
      <c r="H559" s="122"/>
      <c r="I559" s="123"/>
      <c r="J559" s="104"/>
    </row>
    <row r="560" spans="2:10" ht="15.75" x14ac:dyDescent="0.25">
      <c r="B560" s="80">
        <v>508</v>
      </c>
      <c r="C560" s="88" t="s">
        <v>81</v>
      </c>
      <c r="D560" s="86" t="s">
        <v>11</v>
      </c>
      <c r="E560" s="4">
        <f>E559/0.16</f>
        <v>3.375</v>
      </c>
      <c r="F560" s="121" t="s">
        <v>22</v>
      </c>
      <c r="G560" s="122"/>
      <c r="H560" s="122"/>
      <c r="I560" s="123"/>
      <c r="J560" s="104"/>
    </row>
    <row r="561" spans="2:10" ht="15.75" x14ac:dyDescent="0.25">
      <c r="B561" s="80">
        <v>509</v>
      </c>
      <c r="C561" s="88" t="s">
        <v>90</v>
      </c>
      <c r="D561" s="86" t="s">
        <v>27</v>
      </c>
      <c r="E561" s="92">
        <f>((0.09*0.01*0.265)+(0.09*0.01*(0.801+0.114+0.064))+((0.09*0.01*0.064)*2))*I547</f>
        <v>1.2348000000000001E-3</v>
      </c>
      <c r="F561" s="124" t="s">
        <v>139</v>
      </c>
      <c r="G561" s="125"/>
      <c r="H561" s="125"/>
      <c r="I561" s="126"/>
      <c r="J561" s="105"/>
    </row>
    <row r="562" spans="2:10" ht="15.75" x14ac:dyDescent="0.25">
      <c r="B562" s="80">
        <v>510</v>
      </c>
      <c r="C562" s="33" t="s">
        <v>46</v>
      </c>
      <c r="D562" s="86" t="s">
        <v>11</v>
      </c>
      <c r="E562" s="4">
        <f>(E548+E551+E552+E553+E554)*24</f>
        <v>6.2640000000000002</v>
      </c>
      <c r="F562" s="133" t="s">
        <v>82</v>
      </c>
      <c r="G562" s="134"/>
      <c r="H562" s="134"/>
      <c r="I562" s="135"/>
      <c r="J562" s="98"/>
    </row>
    <row r="563" spans="2:10" ht="32.25" thickBot="1" x14ac:dyDescent="0.3">
      <c r="B563" s="80">
        <v>511</v>
      </c>
      <c r="C563" s="88" t="s">
        <v>47</v>
      </c>
      <c r="D563" s="86" t="s">
        <v>11</v>
      </c>
      <c r="E563" s="4">
        <f>E562</f>
        <v>6.2640000000000002</v>
      </c>
      <c r="F563" s="136" t="s">
        <v>83</v>
      </c>
      <c r="G563" s="137"/>
      <c r="H563" s="137"/>
      <c r="I563" s="138"/>
      <c r="J563" s="98"/>
    </row>
    <row r="564" spans="2:10" ht="33" customHeight="1" thickTop="1" thickBot="1" x14ac:dyDescent="0.3">
      <c r="B564" s="109" t="s">
        <v>133</v>
      </c>
      <c r="C564" s="110"/>
      <c r="D564" s="110"/>
      <c r="E564" s="110"/>
      <c r="F564" s="110"/>
      <c r="G564" s="110"/>
      <c r="H564" s="110"/>
      <c r="I564" s="21">
        <v>3</v>
      </c>
      <c r="J564" s="103"/>
    </row>
    <row r="565" spans="2:10" ht="16.5" thickTop="1" x14ac:dyDescent="0.25">
      <c r="B565" s="82">
        <v>512</v>
      </c>
      <c r="C565" s="79" t="s">
        <v>42</v>
      </c>
      <c r="D565" s="77" t="s">
        <v>44</v>
      </c>
      <c r="E565" s="85">
        <f>ROUND(H565*I565/1000,3)</f>
        <v>0.64100000000000001</v>
      </c>
      <c r="F565" s="151" t="s">
        <v>74</v>
      </c>
      <c r="G565" s="152"/>
      <c r="H565" s="36">
        <f>13.1*I564</f>
        <v>39.299999999999997</v>
      </c>
      <c r="I565" s="68">
        <v>16.3</v>
      </c>
      <c r="J565" s="98"/>
    </row>
    <row r="566" spans="2:10" ht="15.75" x14ac:dyDescent="0.25">
      <c r="B566" s="113">
        <v>513</v>
      </c>
      <c r="C566" s="115" t="s">
        <v>49</v>
      </c>
      <c r="D566" s="117" t="s">
        <v>44</v>
      </c>
      <c r="E566" s="119">
        <f>ROUND((I566*H566)/1000,3)</f>
        <v>8.5999999999999993E-2</v>
      </c>
      <c r="F566" s="111" t="s">
        <v>45</v>
      </c>
      <c r="G566" s="112"/>
      <c r="H566" s="19">
        <f>48*I564</f>
        <v>144</v>
      </c>
      <c r="I566" s="53">
        <f>ROUND(0.68*0.888,2)</f>
        <v>0.6</v>
      </c>
      <c r="J566" s="98"/>
    </row>
    <row r="567" spans="2:10" ht="15.75" x14ac:dyDescent="0.25">
      <c r="B567" s="114"/>
      <c r="C567" s="116"/>
      <c r="D567" s="118"/>
      <c r="E567" s="120"/>
      <c r="F567" s="127" t="s">
        <v>50</v>
      </c>
      <c r="G567" s="128"/>
      <c r="H567" s="128"/>
      <c r="I567" s="129"/>
      <c r="J567" s="98"/>
    </row>
    <row r="568" spans="2:10" ht="15.75" customHeight="1" x14ac:dyDescent="0.25">
      <c r="B568" s="113">
        <v>514</v>
      </c>
      <c r="C568" s="115" t="s">
        <v>68</v>
      </c>
      <c r="D568" s="117" t="s">
        <v>44</v>
      </c>
      <c r="E568" s="119">
        <f>ROUND((H568*I568)/1000,3)</f>
        <v>2E-3</v>
      </c>
      <c r="F568" s="111" t="s">
        <v>52</v>
      </c>
      <c r="G568" s="112"/>
      <c r="H568" s="19">
        <f>2*I564</f>
        <v>6</v>
      </c>
      <c r="I568" s="53">
        <f>ROUND(0.55*0.617,2)</f>
        <v>0.34</v>
      </c>
      <c r="J568" s="98"/>
    </row>
    <row r="569" spans="2:10" ht="15.75" x14ac:dyDescent="0.25">
      <c r="B569" s="130"/>
      <c r="C569" s="163"/>
      <c r="D569" s="131"/>
      <c r="E569" s="132"/>
      <c r="F569" s="127" t="s">
        <v>53</v>
      </c>
      <c r="G569" s="128"/>
      <c r="H569" s="128"/>
      <c r="I569" s="129"/>
      <c r="J569" s="98"/>
    </row>
    <row r="570" spans="2:10" ht="15.75" customHeight="1" x14ac:dyDescent="0.25">
      <c r="B570" s="113">
        <v>515</v>
      </c>
      <c r="C570" s="115" t="s">
        <v>141</v>
      </c>
      <c r="D570" s="117" t="s">
        <v>44</v>
      </c>
      <c r="E570" s="119">
        <f>ROUND((I570*H570)/1000,4)</f>
        <v>6.9999999999999999E-4</v>
      </c>
      <c r="F570" s="111" t="s">
        <v>94</v>
      </c>
      <c r="G570" s="112"/>
      <c r="H570" s="19">
        <f>2*I564</f>
        <v>6</v>
      </c>
      <c r="I570" s="53">
        <f>ROUND(0.2*0.617,2)</f>
        <v>0.12</v>
      </c>
      <c r="J570" s="98"/>
    </row>
    <row r="571" spans="2:10" ht="15.75" x14ac:dyDescent="0.25">
      <c r="B571" s="114"/>
      <c r="C571" s="116"/>
      <c r="D571" s="118"/>
      <c r="E571" s="120"/>
      <c r="F571" s="127" t="s">
        <v>109</v>
      </c>
      <c r="G571" s="128"/>
      <c r="H571" s="128"/>
      <c r="I571" s="129"/>
      <c r="J571" s="98"/>
    </row>
    <row r="572" spans="2:10" ht="15.75" x14ac:dyDescent="0.25">
      <c r="B572" s="80">
        <v>516</v>
      </c>
      <c r="C572" s="33" t="s">
        <v>54</v>
      </c>
      <c r="D572" s="86" t="s">
        <v>44</v>
      </c>
      <c r="E572" s="86">
        <f>ROUND(H572*I572/1000,3)</f>
        <v>8.0000000000000002E-3</v>
      </c>
      <c r="F572" s="121" t="s">
        <v>5</v>
      </c>
      <c r="G572" s="122"/>
      <c r="H572" s="24">
        <f>6*I564</f>
        <v>18</v>
      </c>
      <c r="I572" s="54">
        <f>ROUND(0.16*0.06*0.006*7850,2)</f>
        <v>0.45</v>
      </c>
      <c r="J572" s="98"/>
    </row>
    <row r="573" spans="2:10" ht="15.75" x14ac:dyDescent="0.25">
      <c r="B573" s="80">
        <v>517</v>
      </c>
      <c r="C573" s="33" t="s">
        <v>55</v>
      </c>
      <c r="D573" s="86" t="s">
        <v>44</v>
      </c>
      <c r="E573" s="86">
        <f>ROUND((H573*I573)/1000,3)</f>
        <v>1.7000000000000001E-2</v>
      </c>
      <c r="F573" s="141" t="s">
        <v>75</v>
      </c>
      <c r="G573" s="142"/>
      <c r="H573" s="19">
        <f>5*I564</f>
        <v>15</v>
      </c>
      <c r="I573" s="53">
        <f>ROUND(0.21*0.07*0.01*7850,2)</f>
        <v>1.1499999999999999</v>
      </c>
      <c r="J573" s="98"/>
    </row>
    <row r="574" spans="2:10" ht="15.75" x14ac:dyDescent="0.25">
      <c r="B574" s="80">
        <v>518</v>
      </c>
      <c r="C574" s="145" t="s">
        <v>80</v>
      </c>
      <c r="D574" s="117" t="s">
        <v>44</v>
      </c>
      <c r="E574" s="147">
        <f>ROUND(H574*I574/1000,3)+ROUND((H575*I575)/1000,3)</f>
        <v>6.3E-2</v>
      </c>
      <c r="F574" s="141" t="s">
        <v>72</v>
      </c>
      <c r="G574" s="142"/>
      <c r="H574" s="43">
        <f>0.2*I564</f>
        <v>0.60000000000000009</v>
      </c>
      <c r="I574" s="65">
        <v>47.1</v>
      </c>
      <c r="J574" s="98">
        <f>0.2*47.1</f>
        <v>9.42</v>
      </c>
    </row>
    <row r="575" spans="2:10" ht="15.75" x14ac:dyDescent="0.25">
      <c r="B575" s="80">
        <v>519</v>
      </c>
      <c r="C575" s="146"/>
      <c r="D575" s="118"/>
      <c r="E575" s="148"/>
      <c r="F575" s="139" t="s">
        <v>79</v>
      </c>
      <c r="G575" s="140"/>
      <c r="H575" s="30">
        <f>1.7*I564</f>
        <v>5.0999999999999996</v>
      </c>
      <c r="I575" s="61">
        <f>ROUND(6.89*1,2)</f>
        <v>6.89</v>
      </c>
      <c r="J575" s="98">
        <f>1.7*6.89</f>
        <v>11.712999999999999</v>
      </c>
    </row>
    <row r="576" spans="2:10" ht="15.75" x14ac:dyDescent="0.25">
      <c r="B576" s="80">
        <v>520</v>
      </c>
      <c r="C576" s="33" t="s">
        <v>48</v>
      </c>
      <c r="D576" s="86" t="s">
        <v>44</v>
      </c>
      <c r="E576" s="89">
        <f>ROUND((I576*H576)/1000,3)</f>
        <v>0.03</v>
      </c>
      <c r="F576" s="139" t="s">
        <v>56</v>
      </c>
      <c r="G576" s="140"/>
      <c r="H576" s="69">
        <f>3.19*I564</f>
        <v>9.57</v>
      </c>
      <c r="I576" s="96">
        <v>3.17</v>
      </c>
      <c r="J576" s="98"/>
    </row>
    <row r="577" spans="2:10" ht="15.75" x14ac:dyDescent="0.25">
      <c r="B577" s="80">
        <v>521</v>
      </c>
      <c r="C577" s="88" t="s">
        <v>59</v>
      </c>
      <c r="D577" s="86" t="s">
        <v>10</v>
      </c>
      <c r="E577" s="86">
        <f>6*I564</f>
        <v>18</v>
      </c>
      <c r="F577" s="133" t="s">
        <v>22</v>
      </c>
      <c r="G577" s="134"/>
      <c r="H577" s="134"/>
      <c r="I577" s="135"/>
      <c r="J577" s="98"/>
    </row>
    <row r="578" spans="2:10" ht="15.75" x14ac:dyDescent="0.25">
      <c r="B578" s="80">
        <v>522</v>
      </c>
      <c r="C578" s="88" t="s">
        <v>57</v>
      </c>
      <c r="D578" s="86" t="s">
        <v>10</v>
      </c>
      <c r="E578" s="86">
        <f>6*I564</f>
        <v>18</v>
      </c>
      <c r="F578" s="143" t="s">
        <v>58</v>
      </c>
      <c r="G578" s="143"/>
      <c r="H578" s="143"/>
      <c r="I578" s="144"/>
      <c r="J578" s="104"/>
    </row>
    <row r="579" spans="2:10" ht="15.75" x14ac:dyDescent="0.25">
      <c r="B579" s="80">
        <v>523</v>
      </c>
      <c r="C579" s="33" t="s">
        <v>60</v>
      </c>
      <c r="D579" s="86" t="s">
        <v>44</v>
      </c>
      <c r="E579" s="86">
        <f>ROUND((I579*H579)/1000,3)</f>
        <v>0.16300000000000001</v>
      </c>
      <c r="F579" s="121" t="s">
        <v>61</v>
      </c>
      <c r="G579" s="122"/>
      <c r="H579" s="22">
        <f>34.4*I564</f>
        <v>103.19999999999999</v>
      </c>
      <c r="I579" s="55">
        <f>ROUND(1.578,2)</f>
        <v>1.58</v>
      </c>
      <c r="J579" s="98"/>
    </row>
    <row r="580" spans="2:10" ht="15.75" x14ac:dyDescent="0.25">
      <c r="B580" s="80">
        <v>524</v>
      </c>
      <c r="C580" s="33" t="s">
        <v>62</v>
      </c>
      <c r="D580" s="86" t="s">
        <v>27</v>
      </c>
      <c r="E580" s="86">
        <f>0.6*I564</f>
        <v>1.7999999999999998</v>
      </c>
      <c r="F580" s="121" t="s">
        <v>21</v>
      </c>
      <c r="G580" s="122"/>
      <c r="H580" s="122"/>
      <c r="I580" s="123"/>
      <c r="J580" s="104"/>
    </row>
    <row r="581" spans="2:10" ht="15.75" x14ac:dyDescent="0.25">
      <c r="B581" s="80">
        <v>525</v>
      </c>
      <c r="C581" s="88" t="s">
        <v>81</v>
      </c>
      <c r="D581" s="86" t="s">
        <v>11</v>
      </c>
      <c r="E581" s="4">
        <f>E580/0.16</f>
        <v>11.249999999999998</v>
      </c>
      <c r="F581" s="121" t="s">
        <v>22</v>
      </c>
      <c r="G581" s="122"/>
      <c r="H581" s="122"/>
      <c r="I581" s="123"/>
      <c r="J581" s="104"/>
    </row>
    <row r="582" spans="2:10" ht="15.75" x14ac:dyDescent="0.25">
      <c r="B582" s="80">
        <v>526</v>
      </c>
      <c r="C582" s="88" t="s">
        <v>90</v>
      </c>
      <c r="D582" s="86" t="s">
        <v>27</v>
      </c>
      <c r="E582" s="92">
        <f>(0.09*0.01*(0.95+0.09))+(0.09*0.01*(0.064+0.01+0.064))+(0.09*0.01*0.064)</f>
        <v>1.1178000000000002E-3</v>
      </c>
      <c r="F582" s="124" t="s">
        <v>139</v>
      </c>
      <c r="G582" s="125"/>
      <c r="H582" s="125"/>
      <c r="I582" s="126"/>
      <c r="J582" s="105"/>
    </row>
    <row r="583" spans="2:10" ht="15.75" x14ac:dyDescent="0.25">
      <c r="B583" s="80">
        <v>527</v>
      </c>
      <c r="C583" s="33" t="s">
        <v>46</v>
      </c>
      <c r="D583" s="86" t="s">
        <v>11</v>
      </c>
      <c r="E583" s="4">
        <f>(E565+E572+E573+E574)*24</f>
        <v>17.496000000000002</v>
      </c>
      <c r="F583" s="133" t="s">
        <v>82</v>
      </c>
      <c r="G583" s="134"/>
      <c r="H583" s="134"/>
      <c r="I583" s="135"/>
      <c r="J583" s="98"/>
    </row>
    <row r="584" spans="2:10" ht="32.25" thickBot="1" x14ac:dyDescent="0.3">
      <c r="B584" s="80">
        <v>528</v>
      </c>
      <c r="C584" s="88" t="s">
        <v>47</v>
      </c>
      <c r="D584" s="86" t="s">
        <v>11</v>
      </c>
      <c r="E584" s="4">
        <f>E583</f>
        <v>17.496000000000002</v>
      </c>
      <c r="F584" s="136" t="s">
        <v>83</v>
      </c>
      <c r="G584" s="137"/>
      <c r="H584" s="137"/>
      <c r="I584" s="138"/>
      <c r="J584" s="98"/>
    </row>
    <row r="585" spans="2:10" ht="30.75" customHeight="1" thickTop="1" thickBot="1" x14ac:dyDescent="0.3">
      <c r="B585" s="157" t="s">
        <v>134</v>
      </c>
      <c r="C585" s="110"/>
      <c r="D585" s="110"/>
      <c r="E585" s="110"/>
      <c r="F585" s="110"/>
      <c r="G585" s="110"/>
      <c r="H585" s="110"/>
      <c r="I585" s="21">
        <v>2</v>
      </c>
      <c r="J585" s="103"/>
    </row>
    <row r="586" spans="2:10" ht="16.5" thickTop="1" x14ac:dyDescent="0.25">
      <c r="B586" s="80">
        <v>529</v>
      </c>
      <c r="C586" s="79" t="s">
        <v>42</v>
      </c>
      <c r="D586" s="77" t="s">
        <v>44</v>
      </c>
      <c r="E586" s="85">
        <f>ROUND(H586*I586/1000,3)</f>
        <v>0.86799999999999999</v>
      </c>
      <c r="F586" s="111" t="s">
        <v>51</v>
      </c>
      <c r="G586" s="112"/>
      <c r="H586" s="39">
        <f>30.57*I585</f>
        <v>61.14</v>
      </c>
      <c r="I586" s="95">
        <v>14.2</v>
      </c>
      <c r="J586" s="98"/>
    </row>
    <row r="587" spans="2:10" ht="15.75" x14ac:dyDescent="0.25">
      <c r="B587" s="149">
        <v>530</v>
      </c>
      <c r="C587" s="115" t="s">
        <v>49</v>
      </c>
      <c r="D587" s="117" t="s">
        <v>44</v>
      </c>
      <c r="E587" s="119">
        <f>ROUND((I587*H587)/1000,3)</f>
        <v>0.115</v>
      </c>
      <c r="F587" s="111" t="s">
        <v>45</v>
      </c>
      <c r="G587" s="112"/>
      <c r="H587" s="19">
        <f>96*I585</f>
        <v>192</v>
      </c>
      <c r="I587" s="53">
        <f>ROUND(0.68*0.888,2)</f>
        <v>0.6</v>
      </c>
      <c r="J587" s="98"/>
    </row>
    <row r="588" spans="2:10" ht="15.75" x14ac:dyDescent="0.25">
      <c r="B588" s="149"/>
      <c r="C588" s="116"/>
      <c r="D588" s="118"/>
      <c r="E588" s="120"/>
      <c r="F588" s="127" t="s">
        <v>50</v>
      </c>
      <c r="G588" s="128"/>
      <c r="H588" s="128"/>
      <c r="I588" s="129"/>
      <c r="J588" s="98"/>
    </row>
    <row r="589" spans="2:10" ht="15.75" x14ac:dyDescent="0.25">
      <c r="B589" s="149">
        <v>531</v>
      </c>
      <c r="C589" s="115" t="s">
        <v>68</v>
      </c>
      <c r="D589" s="117" t="s">
        <v>44</v>
      </c>
      <c r="E589" s="119">
        <f>ROUND((H589*I589)/1000,3)</f>
        <v>1E-3</v>
      </c>
      <c r="F589" s="111" t="s">
        <v>52</v>
      </c>
      <c r="G589" s="112"/>
      <c r="H589" s="19">
        <f>2*I585</f>
        <v>4</v>
      </c>
      <c r="I589" s="53">
        <f>ROUND(0.55*0.617,2)</f>
        <v>0.34</v>
      </c>
      <c r="J589" s="98"/>
    </row>
    <row r="590" spans="2:10" ht="15.75" x14ac:dyDescent="0.25">
      <c r="B590" s="149"/>
      <c r="C590" s="116"/>
      <c r="D590" s="131"/>
      <c r="E590" s="132"/>
      <c r="F590" s="127" t="s">
        <v>53</v>
      </c>
      <c r="G590" s="128"/>
      <c r="H590" s="128"/>
      <c r="I590" s="129"/>
      <c r="J590" s="98"/>
    </row>
    <row r="591" spans="2:10" ht="15.75" x14ac:dyDescent="0.25">
      <c r="B591" s="149">
        <v>532</v>
      </c>
      <c r="C591" s="115" t="s">
        <v>141</v>
      </c>
      <c r="D591" s="117" t="s">
        <v>44</v>
      </c>
      <c r="E591" s="119">
        <f>ROUND((I591*H591)/1000,4)</f>
        <v>5.0000000000000001E-4</v>
      </c>
      <c r="F591" s="111" t="s">
        <v>94</v>
      </c>
      <c r="G591" s="112"/>
      <c r="H591" s="19">
        <f>2*I585</f>
        <v>4</v>
      </c>
      <c r="I591" s="53">
        <f>ROUND(0.2*0.617,2)</f>
        <v>0.12</v>
      </c>
      <c r="J591" s="98"/>
    </row>
    <row r="592" spans="2:10" ht="15.75" x14ac:dyDescent="0.25">
      <c r="B592" s="149"/>
      <c r="C592" s="116"/>
      <c r="D592" s="118"/>
      <c r="E592" s="120"/>
      <c r="F592" s="127" t="s">
        <v>109</v>
      </c>
      <c r="G592" s="128"/>
      <c r="H592" s="128"/>
      <c r="I592" s="129"/>
      <c r="J592" s="98"/>
    </row>
    <row r="593" spans="2:10" ht="15.75" x14ac:dyDescent="0.25">
      <c r="B593" s="80">
        <v>533</v>
      </c>
      <c r="C593" s="33" t="s">
        <v>54</v>
      </c>
      <c r="D593" s="86" t="s">
        <v>44</v>
      </c>
      <c r="E593" s="89">
        <f>ROUND(H593*I593/1000,3)</f>
        <v>0.01</v>
      </c>
      <c r="F593" s="121" t="s">
        <v>5</v>
      </c>
      <c r="G593" s="122"/>
      <c r="H593" s="24">
        <f>11*I585</f>
        <v>22</v>
      </c>
      <c r="I593" s="54">
        <f>ROUND(0.16*0.06*0.006*7850,2)</f>
        <v>0.45</v>
      </c>
      <c r="J593" s="98"/>
    </row>
    <row r="594" spans="2:10" ht="15.75" x14ac:dyDescent="0.25">
      <c r="B594" s="80">
        <v>534</v>
      </c>
      <c r="C594" s="33" t="s">
        <v>55</v>
      </c>
      <c r="D594" s="86" t="s">
        <v>44</v>
      </c>
      <c r="E594" s="86">
        <f>ROUND((H594*I594)/1000,3)</f>
        <v>3.5000000000000003E-2</v>
      </c>
      <c r="F594" s="121" t="s">
        <v>4</v>
      </c>
      <c r="G594" s="122"/>
      <c r="H594" s="24">
        <f>17*I585</f>
        <v>34</v>
      </c>
      <c r="I594" s="54">
        <f>ROUND(0.19*0.07*0.01*7850,2)</f>
        <v>1.04</v>
      </c>
      <c r="J594" s="98"/>
    </row>
    <row r="595" spans="2:10" ht="15.75" x14ac:dyDescent="0.25">
      <c r="B595" s="80">
        <v>535</v>
      </c>
      <c r="C595" s="33" t="s">
        <v>48</v>
      </c>
      <c r="D595" s="86" t="s">
        <v>44</v>
      </c>
      <c r="E595" s="89">
        <f>ROUND((I595*H595)/1000,3)</f>
        <v>6.6000000000000003E-2</v>
      </c>
      <c r="F595" s="121" t="s">
        <v>56</v>
      </c>
      <c r="G595" s="122"/>
      <c r="H595" s="28">
        <f>10.41*I585</f>
        <v>20.82</v>
      </c>
      <c r="I595" s="67">
        <v>3.17</v>
      </c>
      <c r="J595" s="98"/>
    </row>
    <row r="596" spans="2:10" ht="15.75" x14ac:dyDescent="0.25">
      <c r="B596" s="80">
        <v>536</v>
      </c>
      <c r="C596" s="88" t="s">
        <v>59</v>
      </c>
      <c r="D596" s="86" t="s">
        <v>10</v>
      </c>
      <c r="E596" s="86">
        <f>11*I585</f>
        <v>22</v>
      </c>
      <c r="F596" s="133" t="s">
        <v>22</v>
      </c>
      <c r="G596" s="134"/>
      <c r="H596" s="134"/>
      <c r="I596" s="135"/>
      <c r="J596" s="98"/>
    </row>
    <row r="597" spans="2:10" ht="15.75" x14ac:dyDescent="0.25">
      <c r="B597" s="80">
        <v>537</v>
      </c>
      <c r="C597" s="88" t="s">
        <v>57</v>
      </c>
      <c r="D597" s="86" t="s">
        <v>10</v>
      </c>
      <c r="E597" s="86">
        <f>11*I585</f>
        <v>22</v>
      </c>
      <c r="F597" s="143" t="s">
        <v>58</v>
      </c>
      <c r="G597" s="143"/>
      <c r="H597" s="143"/>
      <c r="I597" s="144"/>
      <c r="J597" s="104"/>
    </row>
    <row r="598" spans="2:10" ht="15.75" x14ac:dyDescent="0.25">
      <c r="B598" s="80">
        <v>538</v>
      </c>
      <c r="C598" s="33" t="s">
        <v>60</v>
      </c>
      <c r="D598" s="86" t="s">
        <v>44</v>
      </c>
      <c r="E598" s="86">
        <f>ROUND((I598*H598)/1000,3)</f>
        <v>0.34699999999999998</v>
      </c>
      <c r="F598" s="121" t="s">
        <v>61</v>
      </c>
      <c r="G598" s="122"/>
      <c r="H598" s="22">
        <f>109.9*I585</f>
        <v>219.8</v>
      </c>
      <c r="I598" s="55">
        <f>ROUND(1.578,2)</f>
        <v>1.58</v>
      </c>
      <c r="J598" s="98"/>
    </row>
    <row r="599" spans="2:10" ht="15.75" x14ac:dyDescent="0.25">
      <c r="B599" s="80">
        <v>539</v>
      </c>
      <c r="C599" s="33" t="s">
        <v>62</v>
      </c>
      <c r="D599" s="86" t="s">
        <v>27</v>
      </c>
      <c r="E599" s="86">
        <f>1.83*I585</f>
        <v>3.66</v>
      </c>
      <c r="F599" s="121" t="s">
        <v>21</v>
      </c>
      <c r="G599" s="122"/>
      <c r="H599" s="122"/>
      <c r="I599" s="123"/>
      <c r="J599" s="104"/>
    </row>
    <row r="600" spans="2:10" ht="15.75" x14ac:dyDescent="0.25">
      <c r="B600" s="80">
        <v>540</v>
      </c>
      <c r="C600" s="88" t="s">
        <v>81</v>
      </c>
      <c r="D600" s="86" t="s">
        <v>11</v>
      </c>
      <c r="E600" s="4">
        <f>E599/0.16</f>
        <v>22.875</v>
      </c>
      <c r="F600" s="121" t="s">
        <v>22</v>
      </c>
      <c r="G600" s="122"/>
      <c r="H600" s="122"/>
      <c r="I600" s="123"/>
      <c r="J600" s="104"/>
    </row>
    <row r="601" spans="2:10" ht="15.75" x14ac:dyDescent="0.25">
      <c r="B601" s="80">
        <v>541</v>
      </c>
      <c r="C601" s="88" t="s">
        <v>90</v>
      </c>
      <c r="D601" s="86" t="s">
        <v>27</v>
      </c>
      <c r="E601" s="92">
        <f>(((0.09*0.01*(0.064+0.01+0.064))*4)+(0.09*0.01*0.064))*I585</f>
        <v>1.1088000000000001E-3</v>
      </c>
      <c r="F601" s="124" t="s">
        <v>139</v>
      </c>
      <c r="G601" s="125"/>
      <c r="H601" s="125"/>
      <c r="I601" s="126"/>
      <c r="J601" s="105"/>
    </row>
    <row r="602" spans="2:10" ht="15.75" x14ac:dyDescent="0.25">
      <c r="B602" s="80">
        <v>542</v>
      </c>
      <c r="C602" s="33" t="s">
        <v>46</v>
      </c>
      <c r="D602" s="86" t="s">
        <v>11</v>
      </c>
      <c r="E602" s="4">
        <f>(E586+E593+E594)*24</f>
        <v>21.911999999999999</v>
      </c>
      <c r="F602" s="133" t="s">
        <v>82</v>
      </c>
      <c r="G602" s="134"/>
      <c r="H602" s="134"/>
      <c r="I602" s="135"/>
      <c r="J602" s="98"/>
    </row>
    <row r="603" spans="2:10" ht="32.25" thickBot="1" x14ac:dyDescent="0.3">
      <c r="B603" s="80">
        <v>543</v>
      </c>
      <c r="C603" s="88" t="s">
        <v>47</v>
      </c>
      <c r="D603" s="86" t="s">
        <v>11</v>
      </c>
      <c r="E603" s="4">
        <f>E602</f>
        <v>21.911999999999999</v>
      </c>
      <c r="F603" s="136" t="s">
        <v>83</v>
      </c>
      <c r="G603" s="137"/>
      <c r="H603" s="137"/>
      <c r="I603" s="138"/>
      <c r="J603" s="98"/>
    </row>
    <row r="604" spans="2:10" ht="35.25" customHeight="1" thickTop="1" thickBot="1" x14ac:dyDescent="0.3">
      <c r="B604" s="150" t="s">
        <v>95</v>
      </c>
      <c r="C604" s="110"/>
      <c r="D604" s="110"/>
      <c r="E604" s="110"/>
      <c r="F604" s="110"/>
      <c r="G604" s="110"/>
      <c r="H604" s="110"/>
      <c r="I604" s="21">
        <v>1</v>
      </c>
      <c r="J604" s="103"/>
    </row>
    <row r="605" spans="2:10" ht="16.5" thickTop="1" x14ac:dyDescent="0.25">
      <c r="B605" s="82">
        <v>544</v>
      </c>
      <c r="C605" s="79" t="s">
        <v>42</v>
      </c>
      <c r="D605" s="77" t="s">
        <v>44</v>
      </c>
      <c r="E605" s="85">
        <f>ROUND(H605*I605/1000,3)</f>
        <v>0.39400000000000002</v>
      </c>
      <c r="F605" s="111" t="s">
        <v>74</v>
      </c>
      <c r="G605" s="112"/>
      <c r="H605" s="39">
        <f>24.2*I604</f>
        <v>24.2</v>
      </c>
      <c r="I605" s="95">
        <v>16.3</v>
      </c>
      <c r="J605" s="98"/>
    </row>
    <row r="606" spans="2:10" ht="15.75" x14ac:dyDescent="0.25">
      <c r="B606" s="113">
        <v>545</v>
      </c>
      <c r="C606" s="115" t="s">
        <v>49</v>
      </c>
      <c r="D606" s="117" t="s">
        <v>44</v>
      </c>
      <c r="E606" s="119">
        <f>ROUND((I606*H606)/1000,3)</f>
        <v>0.114</v>
      </c>
      <c r="F606" s="111" t="s">
        <v>45</v>
      </c>
      <c r="G606" s="112"/>
      <c r="H606" s="19">
        <f>190*I604</f>
        <v>190</v>
      </c>
      <c r="I606" s="53">
        <f>ROUND(0.68*0.888,2)</f>
        <v>0.6</v>
      </c>
      <c r="J606" s="98"/>
    </row>
    <row r="607" spans="2:10" ht="15.75" x14ac:dyDescent="0.25">
      <c r="B607" s="114"/>
      <c r="C607" s="116"/>
      <c r="D607" s="118"/>
      <c r="E607" s="120"/>
      <c r="F607" s="127" t="s">
        <v>50</v>
      </c>
      <c r="G607" s="128"/>
      <c r="H607" s="128"/>
      <c r="I607" s="129"/>
      <c r="J607" s="98"/>
    </row>
    <row r="608" spans="2:10" ht="15.75" x14ac:dyDescent="0.25">
      <c r="B608" s="149">
        <v>546</v>
      </c>
      <c r="C608" s="115" t="s">
        <v>68</v>
      </c>
      <c r="D608" s="117" t="s">
        <v>44</v>
      </c>
      <c r="E608" s="119">
        <f>ROUND((H608*I608)/1000,4)</f>
        <v>1E-3</v>
      </c>
      <c r="F608" s="111" t="s">
        <v>52</v>
      </c>
      <c r="G608" s="112"/>
      <c r="H608" s="19">
        <f>3*I604</f>
        <v>3</v>
      </c>
      <c r="I608" s="53">
        <f>ROUND(0.55*0.617,2)</f>
        <v>0.34</v>
      </c>
      <c r="J608" s="98"/>
    </row>
    <row r="609" spans="2:10" ht="15.75" x14ac:dyDescent="0.25">
      <c r="B609" s="149"/>
      <c r="C609" s="116"/>
      <c r="D609" s="131"/>
      <c r="E609" s="132"/>
      <c r="F609" s="127" t="s">
        <v>53</v>
      </c>
      <c r="G609" s="128"/>
      <c r="H609" s="128"/>
      <c r="I609" s="129"/>
      <c r="J609" s="98"/>
    </row>
    <row r="610" spans="2:10" ht="15.75" x14ac:dyDescent="0.25">
      <c r="B610" s="113">
        <v>547</v>
      </c>
      <c r="C610" s="115" t="s">
        <v>141</v>
      </c>
      <c r="D610" s="117" t="s">
        <v>44</v>
      </c>
      <c r="E610" s="119">
        <f>ROUND((I610*H610)/1000,4)</f>
        <v>5.0000000000000001E-4</v>
      </c>
      <c r="F610" s="111" t="s">
        <v>94</v>
      </c>
      <c r="G610" s="112"/>
      <c r="H610" s="19">
        <f>4*I604</f>
        <v>4</v>
      </c>
      <c r="I610" s="53">
        <f>ROUND(0.2*0.617,2)</f>
        <v>0.12</v>
      </c>
      <c r="J610" s="98"/>
    </row>
    <row r="611" spans="2:10" ht="15.75" x14ac:dyDescent="0.25">
      <c r="B611" s="114"/>
      <c r="C611" s="116"/>
      <c r="D611" s="118"/>
      <c r="E611" s="120"/>
      <c r="F611" s="127" t="s">
        <v>53</v>
      </c>
      <c r="G611" s="128"/>
      <c r="H611" s="128"/>
      <c r="I611" s="129"/>
      <c r="J611" s="98"/>
    </row>
    <row r="612" spans="2:10" ht="15.75" x14ac:dyDescent="0.25">
      <c r="B612" s="80">
        <v>548</v>
      </c>
      <c r="C612" s="33" t="s">
        <v>54</v>
      </c>
      <c r="D612" s="86" t="s">
        <v>44</v>
      </c>
      <c r="E612" s="86">
        <f>ROUND(H612*I612/1000,3)</f>
        <v>4.0000000000000001E-3</v>
      </c>
      <c r="F612" s="121" t="s">
        <v>5</v>
      </c>
      <c r="G612" s="122"/>
      <c r="H612" s="24">
        <f>9*I604</f>
        <v>9</v>
      </c>
      <c r="I612" s="54">
        <f>ROUND(0.16*0.06*0.006*7850,2)</f>
        <v>0.45</v>
      </c>
      <c r="J612" s="98"/>
    </row>
    <row r="613" spans="2:10" ht="15.75" x14ac:dyDescent="0.25">
      <c r="B613" s="80">
        <v>549</v>
      </c>
      <c r="C613" s="33" t="s">
        <v>55</v>
      </c>
      <c r="D613" s="86" t="s">
        <v>44</v>
      </c>
      <c r="E613" s="86">
        <f>ROUND((H613*I613)/1000,3)</f>
        <v>5.0000000000000001E-3</v>
      </c>
      <c r="F613" s="121" t="s">
        <v>4</v>
      </c>
      <c r="G613" s="122"/>
      <c r="H613" s="24">
        <f>5*I604</f>
        <v>5</v>
      </c>
      <c r="I613" s="54">
        <f>ROUND(0.19*0.07*0.01*7850,2)</f>
        <v>1.04</v>
      </c>
      <c r="J613" s="98"/>
    </row>
    <row r="614" spans="2:10" ht="15.75" x14ac:dyDescent="0.25">
      <c r="B614" s="80">
        <v>550</v>
      </c>
      <c r="C614" s="33" t="s">
        <v>111</v>
      </c>
      <c r="D614" s="86" t="s">
        <v>44</v>
      </c>
      <c r="E614" s="86">
        <f>ROUND((H614*I614)/1000,3)</f>
        <v>2.4E-2</v>
      </c>
      <c r="F614" s="111" t="s">
        <v>89</v>
      </c>
      <c r="G614" s="112"/>
      <c r="H614" s="39">
        <f>6.3*I604</f>
        <v>6.3</v>
      </c>
      <c r="I614" s="95">
        <f>ROUND(3.77*1,2)</f>
        <v>3.77</v>
      </c>
      <c r="J614" s="98">
        <f>6.3*3.77</f>
        <v>23.750999999999998</v>
      </c>
    </row>
    <row r="615" spans="2:10" ht="15.75" x14ac:dyDescent="0.25">
      <c r="B615" s="80">
        <v>551</v>
      </c>
      <c r="C615" s="33" t="s">
        <v>48</v>
      </c>
      <c r="D615" s="86" t="s">
        <v>44</v>
      </c>
      <c r="E615" s="89">
        <f>ROUND((I615*H615)/1000,3)</f>
        <v>4.1000000000000002E-2</v>
      </c>
      <c r="F615" s="121" t="s">
        <v>56</v>
      </c>
      <c r="G615" s="122"/>
      <c r="H615" s="28">
        <f>12.9*I604</f>
        <v>12.9</v>
      </c>
      <c r="I615" s="67">
        <v>3.17</v>
      </c>
      <c r="J615" s="98"/>
    </row>
    <row r="616" spans="2:10" ht="15.75" x14ac:dyDescent="0.25">
      <c r="B616" s="80">
        <v>552</v>
      </c>
      <c r="C616" s="88" t="s">
        <v>59</v>
      </c>
      <c r="D616" s="86" t="s">
        <v>10</v>
      </c>
      <c r="E616" s="86">
        <f>9*I604</f>
        <v>9</v>
      </c>
      <c r="F616" s="133" t="s">
        <v>22</v>
      </c>
      <c r="G616" s="134"/>
      <c r="H616" s="134"/>
      <c r="I616" s="135"/>
      <c r="J616" s="98"/>
    </row>
    <row r="617" spans="2:10" ht="15.75" x14ac:dyDescent="0.25">
      <c r="B617" s="80">
        <v>553</v>
      </c>
      <c r="C617" s="88" t="s">
        <v>57</v>
      </c>
      <c r="D617" s="86" t="s">
        <v>10</v>
      </c>
      <c r="E617" s="86">
        <f>9*I604</f>
        <v>9</v>
      </c>
      <c r="F617" s="143" t="s">
        <v>58</v>
      </c>
      <c r="G617" s="143"/>
      <c r="H617" s="143"/>
      <c r="I617" s="144"/>
      <c r="J617" s="104"/>
    </row>
    <row r="618" spans="2:10" ht="15.75" x14ac:dyDescent="0.25">
      <c r="B618" s="80">
        <v>554</v>
      </c>
      <c r="C618" s="33" t="s">
        <v>60</v>
      </c>
      <c r="D618" s="86" t="s">
        <v>44</v>
      </c>
      <c r="E618" s="86">
        <f>ROUND((I618*H618)/1000,3)</f>
        <v>0.219</v>
      </c>
      <c r="F618" s="121" t="s">
        <v>61</v>
      </c>
      <c r="G618" s="122"/>
      <c r="H618" s="22">
        <f>138.78*I604</f>
        <v>138.78</v>
      </c>
      <c r="I618" s="55">
        <f>ROUND(1.578,2)</f>
        <v>1.58</v>
      </c>
      <c r="J618" s="98"/>
    </row>
    <row r="619" spans="2:10" ht="15.75" x14ac:dyDescent="0.25">
      <c r="B619" s="80">
        <v>555</v>
      </c>
      <c r="C619" s="33" t="s">
        <v>62</v>
      </c>
      <c r="D619" s="86" t="s">
        <v>27</v>
      </c>
      <c r="E619" s="86">
        <f>2.27*I604</f>
        <v>2.27</v>
      </c>
      <c r="F619" s="121" t="s">
        <v>21</v>
      </c>
      <c r="G619" s="122"/>
      <c r="H619" s="122"/>
      <c r="I619" s="123"/>
      <c r="J619" s="104"/>
    </row>
    <row r="620" spans="2:10" ht="15.75" x14ac:dyDescent="0.25">
      <c r="B620" s="80">
        <v>556</v>
      </c>
      <c r="C620" s="88" t="s">
        <v>81</v>
      </c>
      <c r="D620" s="86" t="s">
        <v>11</v>
      </c>
      <c r="E620" s="4">
        <f>E619/0.16</f>
        <v>14.1875</v>
      </c>
      <c r="F620" s="121" t="s">
        <v>22</v>
      </c>
      <c r="G620" s="122"/>
      <c r="H620" s="122"/>
      <c r="I620" s="123"/>
      <c r="J620" s="104"/>
    </row>
    <row r="621" spans="2:10" ht="15.75" x14ac:dyDescent="0.25">
      <c r="B621" s="80">
        <v>557</v>
      </c>
      <c r="C621" s="88" t="s">
        <v>90</v>
      </c>
      <c r="D621" s="86" t="s">
        <v>27</v>
      </c>
      <c r="E621" s="92">
        <f>(((0.09*0.01*(0.064+0.01+0.064))*2)+((0.09*0.01*(0.064+0.05))*3)+((0.09*0.01*0.064)*2))*I604</f>
        <v>6.7139999999999995E-4</v>
      </c>
      <c r="F621" s="124" t="s">
        <v>139</v>
      </c>
      <c r="G621" s="125"/>
      <c r="H621" s="125"/>
      <c r="I621" s="126"/>
      <c r="J621" s="105"/>
    </row>
    <row r="622" spans="2:10" ht="15.75" x14ac:dyDescent="0.25">
      <c r="B622" s="80">
        <v>558</v>
      </c>
      <c r="C622" s="33" t="s">
        <v>46</v>
      </c>
      <c r="D622" s="86" t="s">
        <v>11</v>
      </c>
      <c r="E622" s="4">
        <f>(E605+E612+E613+E614)*24</f>
        <v>10.248000000000001</v>
      </c>
      <c r="F622" s="133" t="s">
        <v>82</v>
      </c>
      <c r="G622" s="134"/>
      <c r="H622" s="134"/>
      <c r="I622" s="135"/>
      <c r="J622" s="98"/>
    </row>
    <row r="623" spans="2:10" ht="32.25" thickBot="1" x14ac:dyDescent="0.3">
      <c r="B623" s="80">
        <v>559</v>
      </c>
      <c r="C623" s="88" t="s">
        <v>47</v>
      </c>
      <c r="D623" s="86" t="s">
        <v>11</v>
      </c>
      <c r="E623" s="4">
        <f>E622</f>
        <v>10.248000000000001</v>
      </c>
      <c r="F623" s="136" t="s">
        <v>83</v>
      </c>
      <c r="G623" s="137"/>
      <c r="H623" s="137"/>
      <c r="I623" s="138"/>
      <c r="J623" s="98"/>
    </row>
    <row r="624" spans="2:10" ht="31.5" customHeight="1" thickTop="1" thickBot="1" x14ac:dyDescent="0.3">
      <c r="B624" s="109" t="s">
        <v>96</v>
      </c>
      <c r="C624" s="110"/>
      <c r="D624" s="110"/>
      <c r="E624" s="110"/>
      <c r="F624" s="110"/>
      <c r="G624" s="110"/>
      <c r="H624" s="110"/>
      <c r="I624" s="21">
        <v>2</v>
      </c>
      <c r="J624" s="103"/>
    </row>
    <row r="625" spans="2:10" ht="16.5" thickTop="1" x14ac:dyDescent="0.25">
      <c r="B625" s="82">
        <v>560</v>
      </c>
      <c r="C625" s="79" t="s">
        <v>42</v>
      </c>
      <c r="D625" s="77" t="s">
        <v>44</v>
      </c>
      <c r="E625" s="85">
        <f>ROUND(H625*I625/1000,3)</f>
        <v>0.75800000000000001</v>
      </c>
      <c r="F625" s="111" t="s">
        <v>74</v>
      </c>
      <c r="G625" s="112"/>
      <c r="H625" s="39">
        <f>23.24*I624</f>
        <v>46.48</v>
      </c>
      <c r="I625" s="95">
        <v>16.3</v>
      </c>
      <c r="J625" s="98"/>
    </row>
    <row r="626" spans="2:10" ht="15.75" x14ac:dyDescent="0.25">
      <c r="B626" s="113">
        <v>561</v>
      </c>
      <c r="C626" s="115" t="s">
        <v>49</v>
      </c>
      <c r="D626" s="117" t="s">
        <v>44</v>
      </c>
      <c r="E626" s="119">
        <f>ROUND((I626*H626)/1000,3)</f>
        <v>0.127</v>
      </c>
      <c r="F626" s="111" t="s">
        <v>45</v>
      </c>
      <c r="G626" s="112"/>
      <c r="H626" s="19">
        <f>106*I624</f>
        <v>212</v>
      </c>
      <c r="I626" s="53">
        <f>ROUND(0.68*0.888,2)</f>
        <v>0.6</v>
      </c>
      <c r="J626" s="98"/>
    </row>
    <row r="627" spans="2:10" ht="15.75" x14ac:dyDescent="0.25">
      <c r="B627" s="114"/>
      <c r="C627" s="116"/>
      <c r="D627" s="118"/>
      <c r="E627" s="120"/>
      <c r="F627" s="127" t="s">
        <v>50</v>
      </c>
      <c r="G627" s="128"/>
      <c r="H627" s="128"/>
      <c r="I627" s="129"/>
      <c r="J627" s="98"/>
    </row>
    <row r="628" spans="2:10" ht="15.75" x14ac:dyDescent="0.25">
      <c r="B628" s="113">
        <v>562</v>
      </c>
      <c r="C628" s="115" t="s">
        <v>68</v>
      </c>
      <c r="D628" s="117" t="s">
        <v>44</v>
      </c>
      <c r="E628" s="119">
        <f>ROUND((H628*I628)/1000,4)</f>
        <v>1.4E-3</v>
      </c>
      <c r="F628" s="111" t="s">
        <v>52</v>
      </c>
      <c r="G628" s="112"/>
      <c r="H628" s="19">
        <f>2*I624</f>
        <v>4</v>
      </c>
      <c r="I628" s="53">
        <f>ROUND(0.55*0.617,2)</f>
        <v>0.34</v>
      </c>
      <c r="J628" s="98"/>
    </row>
    <row r="629" spans="2:10" ht="15.75" x14ac:dyDescent="0.25">
      <c r="B629" s="130"/>
      <c r="C629" s="116"/>
      <c r="D629" s="131"/>
      <c r="E629" s="132"/>
      <c r="F629" s="127" t="s">
        <v>53</v>
      </c>
      <c r="G629" s="128"/>
      <c r="H629" s="128"/>
      <c r="I629" s="129"/>
      <c r="J629" s="98"/>
    </row>
    <row r="630" spans="2:10" ht="15.75" x14ac:dyDescent="0.25">
      <c r="B630" s="149">
        <v>563</v>
      </c>
      <c r="C630" s="115" t="s">
        <v>141</v>
      </c>
      <c r="D630" s="117" t="s">
        <v>44</v>
      </c>
      <c r="E630" s="119">
        <f>ROUND((H630*I630)/1000,4)</f>
        <v>5.0000000000000001E-4</v>
      </c>
      <c r="F630" s="111" t="s">
        <v>94</v>
      </c>
      <c r="G630" s="112"/>
      <c r="H630" s="19">
        <f>2*I624</f>
        <v>4</v>
      </c>
      <c r="I630" s="53">
        <f>ROUND(0.2*0.617,2)</f>
        <v>0.12</v>
      </c>
      <c r="J630" s="98"/>
    </row>
    <row r="631" spans="2:10" ht="15.75" x14ac:dyDescent="0.25">
      <c r="B631" s="149"/>
      <c r="C631" s="116"/>
      <c r="D631" s="131"/>
      <c r="E631" s="120"/>
      <c r="F631" s="127" t="s">
        <v>53</v>
      </c>
      <c r="G631" s="128"/>
      <c r="H631" s="128"/>
      <c r="I631" s="129"/>
      <c r="J631" s="98"/>
    </row>
    <row r="632" spans="2:10" ht="15.75" x14ac:dyDescent="0.25">
      <c r="B632" s="80">
        <v>564</v>
      </c>
      <c r="C632" s="33" t="s">
        <v>54</v>
      </c>
      <c r="D632" s="86" t="s">
        <v>44</v>
      </c>
      <c r="E632" s="86">
        <f>ROUND(H632*I632/1000,3)</f>
        <v>8.9999999999999993E-3</v>
      </c>
      <c r="F632" s="121" t="s">
        <v>5</v>
      </c>
      <c r="G632" s="122"/>
      <c r="H632" s="24">
        <f>10*I624</f>
        <v>20</v>
      </c>
      <c r="I632" s="54">
        <f>ROUND(0.16*0.06*0.006*7850,2)</f>
        <v>0.45</v>
      </c>
      <c r="J632" s="98"/>
    </row>
    <row r="633" spans="2:10" ht="15.75" x14ac:dyDescent="0.25">
      <c r="B633" s="80">
        <v>565</v>
      </c>
      <c r="C633" s="33" t="s">
        <v>55</v>
      </c>
      <c r="D633" s="86" t="s">
        <v>44</v>
      </c>
      <c r="E633" s="86">
        <f>ROUND((H633*I633)/1000,3)</f>
        <v>2.1000000000000001E-2</v>
      </c>
      <c r="F633" s="121" t="s">
        <v>4</v>
      </c>
      <c r="G633" s="122"/>
      <c r="H633" s="24">
        <f>10*I624</f>
        <v>20</v>
      </c>
      <c r="I633" s="54">
        <f>ROUND(0.19*0.07*0.01*7850,2)</f>
        <v>1.04</v>
      </c>
      <c r="J633" s="98"/>
    </row>
    <row r="634" spans="2:10" ht="15.75" x14ac:dyDescent="0.25">
      <c r="B634" s="80">
        <v>566</v>
      </c>
      <c r="C634" s="33" t="s">
        <v>48</v>
      </c>
      <c r="D634" s="86" t="s">
        <v>44</v>
      </c>
      <c r="E634" s="89">
        <f>ROUND((I634*H634)/1000,3)</f>
        <v>7.5999999999999998E-2</v>
      </c>
      <c r="F634" s="121" t="s">
        <v>56</v>
      </c>
      <c r="G634" s="122"/>
      <c r="H634" s="28">
        <f>11.94*I624</f>
        <v>23.88</v>
      </c>
      <c r="I634" s="67">
        <v>3.17</v>
      </c>
      <c r="J634" s="98"/>
    </row>
    <row r="635" spans="2:10" ht="15.75" x14ac:dyDescent="0.25">
      <c r="B635" s="80">
        <v>567</v>
      </c>
      <c r="C635" s="88" t="s">
        <v>59</v>
      </c>
      <c r="D635" s="86" t="s">
        <v>10</v>
      </c>
      <c r="E635" s="86">
        <f>10*I624</f>
        <v>20</v>
      </c>
      <c r="F635" s="133" t="s">
        <v>22</v>
      </c>
      <c r="G635" s="134"/>
      <c r="H635" s="134"/>
      <c r="I635" s="135"/>
      <c r="J635" s="98"/>
    </row>
    <row r="636" spans="2:10" ht="15.75" x14ac:dyDescent="0.25">
      <c r="B636" s="80">
        <v>568</v>
      </c>
      <c r="C636" s="88" t="s">
        <v>57</v>
      </c>
      <c r="D636" s="86" t="s">
        <v>10</v>
      </c>
      <c r="E636" s="86">
        <f>10*I624</f>
        <v>20</v>
      </c>
      <c r="F636" s="143" t="s">
        <v>58</v>
      </c>
      <c r="G636" s="143"/>
      <c r="H636" s="143"/>
      <c r="I636" s="144"/>
      <c r="J636" s="104"/>
    </row>
    <row r="637" spans="2:10" ht="15.75" x14ac:dyDescent="0.25">
      <c r="B637" s="80">
        <v>569</v>
      </c>
      <c r="C637" s="33" t="s">
        <v>60</v>
      </c>
      <c r="D637" s="86" t="s">
        <v>44</v>
      </c>
      <c r="E637" s="89">
        <f>ROUND((I637*H637)/1000,3)</f>
        <v>0.37</v>
      </c>
      <c r="F637" s="121" t="s">
        <v>61</v>
      </c>
      <c r="G637" s="122"/>
      <c r="H637" s="22">
        <f>117.15*I624</f>
        <v>234.3</v>
      </c>
      <c r="I637" s="55">
        <f>ROUND(1.578,2)</f>
        <v>1.58</v>
      </c>
      <c r="J637" s="98"/>
    </row>
    <row r="638" spans="2:10" ht="15.75" x14ac:dyDescent="0.25">
      <c r="B638" s="80">
        <v>570</v>
      </c>
      <c r="C638" s="33" t="s">
        <v>62</v>
      </c>
      <c r="D638" s="86" t="s">
        <v>27</v>
      </c>
      <c r="E638" s="86">
        <f>2.1*I624</f>
        <v>4.2</v>
      </c>
      <c r="F638" s="121" t="s">
        <v>21</v>
      </c>
      <c r="G638" s="122"/>
      <c r="H638" s="122"/>
      <c r="I638" s="123"/>
      <c r="J638" s="104"/>
    </row>
    <row r="639" spans="2:10" ht="15.75" x14ac:dyDescent="0.25">
      <c r="B639" s="80">
        <v>571</v>
      </c>
      <c r="C639" s="88" t="s">
        <v>81</v>
      </c>
      <c r="D639" s="86" t="s">
        <v>11</v>
      </c>
      <c r="E639" s="4">
        <f>E638/0.16</f>
        <v>26.25</v>
      </c>
      <c r="F639" s="121" t="s">
        <v>22</v>
      </c>
      <c r="G639" s="122"/>
      <c r="H639" s="122"/>
      <c r="I639" s="123"/>
      <c r="J639" s="104"/>
    </row>
    <row r="640" spans="2:10" ht="15.75" x14ac:dyDescent="0.25">
      <c r="B640" s="80">
        <v>572</v>
      </c>
      <c r="C640" s="88" t="s">
        <v>90</v>
      </c>
      <c r="D640" s="86" t="s">
        <v>27</v>
      </c>
      <c r="E640" s="92">
        <f>((0.09*0.01*(0.064+0.01+0.064))*4)*I624</f>
        <v>9.9360000000000008E-4</v>
      </c>
      <c r="F640" s="124" t="s">
        <v>139</v>
      </c>
      <c r="G640" s="125"/>
      <c r="H640" s="125"/>
      <c r="I640" s="126"/>
      <c r="J640" s="105"/>
    </row>
    <row r="641" spans="2:10" ht="15.75" x14ac:dyDescent="0.25">
      <c r="B641" s="80">
        <v>573</v>
      </c>
      <c r="C641" s="33" t="s">
        <v>46</v>
      </c>
      <c r="D641" s="86" t="s">
        <v>11</v>
      </c>
      <c r="E641" s="4">
        <f>(E625+E632+E633)*24</f>
        <v>18.911999999999999</v>
      </c>
      <c r="F641" s="133" t="s">
        <v>82</v>
      </c>
      <c r="G641" s="134"/>
      <c r="H641" s="134"/>
      <c r="I641" s="135"/>
      <c r="J641" s="98"/>
    </row>
    <row r="642" spans="2:10" ht="32.25" thickBot="1" x14ac:dyDescent="0.3">
      <c r="B642" s="80">
        <v>574</v>
      </c>
      <c r="C642" s="88" t="s">
        <v>47</v>
      </c>
      <c r="D642" s="86" t="s">
        <v>11</v>
      </c>
      <c r="E642" s="4">
        <f>E641</f>
        <v>18.911999999999999</v>
      </c>
      <c r="F642" s="136" t="s">
        <v>83</v>
      </c>
      <c r="G642" s="137"/>
      <c r="H642" s="137"/>
      <c r="I642" s="138"/>
      <c r="J642" s="98"/>
    </row>
    <row r="643" spans="2:10" ht="33.75" customHeight="1" thickTop="1" thickBot="1" x14ac:dyDescent="0.3">
      <c r="B643" s="109" t="s">
        <v>97</v>
      </c>
      <c r="C643" s="110"/>
      <c r="D643" s="110"/>
      <c r="E643" s="110"/>
      <c r="F643" s="110"/>
      <c r="G643" s="110"/>
      <c r="H643" s="110"/>
      <c r="I643" s="21">
        <v>1</v>
      </c>
      <c r="J643" s="103"/>
    </row>
    <row r="644" spans="2:10" ht="16.5" thickTop="1" x14ac:dyDescent="0.25">
      <c r="B644" s="82">
        <v>575</v>
      </c>
      <c r="C644" s="79" t="s">
        <v>42</v>
      </c>
      <c r="D644" s="77" t="s">
        <v>44</v>
      </c>
      <c r="E644" s="85">
        <f>ROUND(H644*I644/1000,3)</f>
        <v>0.46100000000000002</v>
      </c>
      <c r="F644" s="111" t="s">
        <v>74</v>
      </c>
      <c r="G644" s="112"/>
      <c r="H644" s="39">
        <f>28.28*I643</f>
        <v>28.28</v>
      </c>
      <c r="I644" s="95">
        <v>16.3</v>
      </c>
      <c r="J644" s="98"/>
    </row>
    <row r="645" spans="2:10" ht="15.75" x14ac:dyDescent="0.25">
      <c r="B645" s="113">
        <v>576</v>
      </c>
      <c r="C645" s="115" t="s">
        <v>49</v>
      </c>
      <c r="D645" s="117" t="s">
        <v>44</v>
      </c>
      <c r="E645" s="119">
        <f>ROUND((I645*H645)/1000,3)</f>
        <v>0.14299999999999999</v>
      </c>
      <c r="F645" s="111" t="s">
        <v>45</v>
      </c>
      <c r="G645" s="112"/>
      <c r="H645" s="19">
        <f>238*I643</f>
        <v>238</v>
      </c>
      <c r="I645" s="53">
        <f>ROUND(0.68*0.888,2)</f>
        <v>0.6</v>
      </c>
      <c r="J645" s="98"/>
    </row>
    <row r="646" spans="2:10" ht="15.75" x14ac:dyDescent="0.25">
      <c r="B646" s="114"/>
      <c r="C646" s="116"/>
      <c r="D646" s="118"/>
      <c r="E646" s="120"/>
      <c r="F646" s="127" t="s">
        <v>50</v>
      </c>
      <c r="G646" s="128"/>
      <c r="H646" s="128"/>
      <c r="I646" s="129"/>
      <c r="J646" s="98"/>
    </row>
    <row r="647" spans="2:10" ht="15.75" x14ac:dyDescent="0.25">
      <c r="B647" s="113">
        <v>577</v>
      </c>
      <c r="C647" s="115" t="s">
        <v>68</v>
      </c>
      <c r="D647" s="117" t="s">
        <v>44</v>
      </c>
      <c r="E647" s="119">
        <f>ROUND((H647*I647)/1000,4)</f>
        <v>2.3999999999999998E-3</v>
      </c>
      <c r="F647" s="111" t="s">
        <v>52</v>
      </c>
      <c r="G647" s="112"/>
      <c r="H647" s="19">
        <f>7*I643</f>
        <v>7</v>
      </c>
      <c r="I647" s="53">
        <f>ROUND(0.55*0.617,2)</f>
        <v>0.34</v>
      </c>
      <c r="J647" s="98"/>
    </row>
    <row r="648" spans="2:10" ht="15.75" x14ac:dyDescent="0.25">
      <c r="B648" s="130"/>
      <c r="C648" s="116"/>
      <c r="D648" s="131"/>
      <c r="E648" s="132"/>
      <c r="F648" s="127" t="s">
        <v>53</v>
      </c>
      <c r="G648" s="128"/>
      <c r="H648" s="128"/>
      <c r="I648" s="129"/>
      <c r="J648" s="98"/>
    </row>
    <row r="649" spans="2:10" ht="15.75" x14ac:dyDescent="0.25">
      <c r="B649" s="80">
        <v>578</v>
      </c>
      <c r="C649" s="33" t="s">
        <v>54</v>
      </c>
      <c r="D649" s="86" t="s">
        <v>44</v>
      </c>
      <c r="E649" s="86">
        <f>ROUND(H649*I649/1000,3)</f>
        <v>5.0000000000000001E-3</v>
      </c>
      <c r="F649" s="121" t="s">
        <v>5</v>
      </c>
      <c r="G649" s="122"/>
      <c r="H649" s="24">
        <f>11*I643</f>
        <v>11</v>
      </c>
      <c r="I649" s="54">
        <f>ROUND(0.16*0.06*0.006*7850,2)</f>
        <v>0.45</v>
      </c>
      <c r="J649" s="98"/>
    </row>
    <row r="650" spans="2:10" ht="15.75" x14ac:dyDescent="0.25">
      <c r="B650" s="80">
        <v>579</v>
      </c>
      <c r="C650" s="33" t="s">
        <v>55</v>
      </c>
      <c r="D650" s="86" t="s">
        <v>44</v>
      </c>
      <c r="E650" s="89">
        <f>ROUND((H650*I650)/1000,3)</f>
        <v>0.01</v>
      </c>
      <c r="F650" s="121" t="s">
        <v>4</v>
      </c>
      <c r="G650" s="122"/>
      <c r="H650" s="24">
        <f>10*I643</f>
        <v>10</v>
      </c>
      <c r="I650" s="54">
        <f>ROUND(0.19*0.07*0.01*7850,2)</f>
        <v>1.04</v>
      </c>
      <c r="J650" s="98"/>
    </row>
    <row r="651" spans="2:10" ht="15.75" x14ac:dyDescent="0.25">
      <c r="B651" s="80">
        <v>580</v>
      </c>
      <c r="C651" s="33" t="s">
        <v>48</v>
      </c>
      <c r="D651" s="86" t="s">
        <v>44</v>
      </c>
      <c r="E651" s="89">
        <f>ROUND((I651*H651)/1000,3)</f>
        <v>9.0999999999999998E-2</v>
      </c>
      <c r="F651" s="121" t="s">
        <v>56</v>
      </c>
      <c r="G651" s="122"/>
      <c r="H651" s="28">
        <f>28.59*I643</f>
        <v>28.59</v>
      </c>
      <c r="I651" s="67">
        <v>3.17</v>
      </c>
      <c r="J651" s="98"/>
    </row>
    <row r="652" spans="2:10" ht="15.75" x14ac:dyDescent="0.25">
      <c r="B652" s="80">
        <v>581</v>
      </c>
      <c r="C652" s="88" t="s">
        <v>59</v>
      </c>
      <c r="D652" s="86" t="s">
        <v>10</v>
      </c>
      <c r="E652" s="86">
        <f>11*I643</f>
        <v>11</v>
      </c>
      <c r="F652" s="133" t="s">
        <v>22</v>
      </c>
      <c r="G652" s="134"/>
      <c r="H652" s="134"/>
      <c r="I652" s="135"/>
      <c r="J652" s="98"/>
    </row>
    <row r="653" spans="2:10" ht="15.75" x14ac:dyDescent="0.25">
      <c r="B653" s="80">
        <v>582</v>
      </c>
      <c r="C653" s="88" t="s">
        <v>57</v>
      </c>
      <c r="D653" s="86" t="s">
        <v>10</v>
      </c>
      <c r="E653" s="86">
        <f>11*I643</f>
        <v>11</v>
      </c>
      <c r="F653" s="143" t="s">
        <v>58</v>
      </c>
      <c r="G653" s="143"/>
      <c r="H653" s="143"/>
      <c r="I653" s="144"/>
      <c r="J653" s="104"/>
    </row>
    <row r="654" spans="2:10" ht="15.75" x14ac:dyDescent="0.25">
      <c r="B654" s="80">
        <v>583</v>
      </c>
      <c r="C654" s="33" t="s">
        <v>60</v>
      </c>
      <c r="D654" s="86" t="s">
        <v>44</v>
      </c>
      <c r="E654" s="86">
        <f>ROUND((I654*H654)/1000,3)</f>
        <v>0.46300000000000002</v>
      </c>
      <c r="F654" s="121" t="s">
        <v>61</v>
      </c>
      <c r="G654" s="122"/>
      <c r="H654" s="22">
        <f>293.26*I643</f>
        <v>293.26</v>
      </c>
      <c r="I654" s="55">
        <f>ROUND(1.578,2)</f>
        <v>1.58</v>
      </c>
      <c r="J654" s="98"/>
    </row>
    <row r="655" spans="2:10" ht="15.75" x14ac:dyDescent="0.25">
      <c r="B655" s="80">
        <v>584</v>
      </c>
      <c r="C655" s="33" t="s">
        <v>62</v>
      </c>
      <c r="D655" s="86" t="s">
        <v>27</v>
      </c>
      <c r="E655" s="86">
        <f>5.03*I643</f>
        <v>5.03</v>
      </c>
      <c r="F655" s="121" t="s">
        <v>21</v>
      </c>
      <c r="G655" s="122"/>
      <c r="H655" s="122"/>
      <c r="I655" s="123"/>
      <c r="J655" s="104"/>
    </row>
    <row r="656" spans="2:10" ht="15.75" x14ac:dyDescent="0.25">
      <c r="B656" s="80">
        <v>585</v>
      </c>
      <c r="C656" s="88" t="s">
        <v>81</v>
      </c>
      <c r="D656" s="86" t="s">
        <v>11</v>
      </c>
      <c r="E656" s="4">
        <f>E655/0.16</f>
        <v>31.4375</v>
      </c>
      <c r="F656" s="121" t="s">
        <v>22</v>
      </c>
      <c r="G656" s="122"/>
      <c r="H656" s="122"/>
      <c r="I656" s="123"/>
      <c r="J656" s="104"/>
    </row>
    <row r="657" spans="2:10" ht="15.75" x14ac:dyDescent="0.25">
      <c r="B657" s="80">
        <v>586</v>
      </c>
      <c r="C657" s="88" t="s">
        <v>90</v>
      </c>
      <c r="D657" s="86" t="s">
        <v>27</v>
      </c>
      <c r="E657" s="92">
        <f>(((0.09*0.01*(0.064+0.01+0.064))*4)+((0.09*0.01*0.064)*3))*I643</f>
        <v>6.6960000000000001E-4</v>
      </c>
      <c r="F657" s="124" t="s">
        <v>139</v>
      </c>
      <c r="G657" s="125"/>
      <c r="H657" s="125"/>
      <c r="I657" s="126"/>
      <c r="J657" s="105"/>
    </row>
    <row r="658" spans="2:10" ht="15.75" x14ac:dyDescent="0.25">
      <c r="B658" s="80">
        <v>587</v>
      </c>
      <c r="C658" s="33" t="s">
        <v>46</v>
      </c>
      <c r="D658" s="86" t="s">
        <v>11</v>
      </c>
      <c r="E658" s="4">
        <f>(E644+E649+E650)*24</f>
        <v>11.424000000000001</v>
      </c>
      <c r="F658" s="133" t="s">
        <v>82</v>
      </c>
      <c r="G658" s="134"/>
      <c r="H658" s="134"/>
      <c r="I658" s="135"/>
      <c r="J658" s="98"/>
    </row>
    <row r="659" spans="2:10" ht="32.25" thickBot="1" x14ac:dyDescent="0.3">
      <c r="B659" s="80">
        <v>588</v>
      </c>
      <c r="C659" s="88" t="s">
        <v>47</v>
      </c>
      <c r="D659" s="86" t="s">
        <v>11</v>
      </c>
      <c r="E659" s="4">
        <f>E658</f>
        <v>11.424000000000001</v>
      </c>
      <c r="F659" s="136" t="s">
        <v>83</v>
      </c>
      <c r="G659" s="137"/>
      <c r="H659" s="137"/>
      <c r="I659" s="138"/>
      <c r="J659" s="98"/>
    </row>
    <row r="660" spans="2:10" ht="30" customHeight="1" thickTop="1" thickBot="1" x14ac:dyDescent="0.3">
      <c r="B660" s="109" t="s">
        <v>98</v>
      </c>
      <c r="C660" s="110"/>
      <c r="D660" s="110"/>
      <c r="E660" s="110"/>
      <c r="F660" s="110"/>
      <c r="G660" s="110"/>
      <c r="H660" s="110"/>
      <c r="I660" s="21">
        <v>1</v>
      </c>
      <c r="J660" s="103"/>
    </row>
    <row r="661" spans="2:10" ht="16.5" thickTop="1" x14ac:dyDescent="0.25">
      <c r="B661" s="82">
        <v>589</v>
      </c>
      <c r="C661" s="79" t="s">
        <v>42</v>
      </c>
      <c r="D661" s="77" t="s">
        <v>44</v>
      </c>
      <c r="E661" s="85">
        <f>ROUND(H661*I661/1000,3)</f>
        <v>0.41899999999999998</v>
      </c>
      <c r="F661" s="111" t="s">
        <v>74</v>
      </c>
      <c r="G661" s="112"/>
      <c r="H661" s="39">
        <f>25.71*I660</f>
        <v>25.71</v>
      </c>
      <c r="I661" s="95">
        <v>16.3</v>
      </c>
      <c r="J661" s="98"/>
    </row>
    <row r="662" spans="2:10" ht="15.75" x14ac:dyDescent="0.25">
      <c r="B662" s="113">
        <v>590</v>
      </c>
      <c r="C662" s="115" t="s">
        <v>49</v>
      </c>
      <c r="D662" s="117" t="s">
        <v>44</v>
      </c>
      <c r="E662" s="119">
        <f>ROUND((I662*H662)/1000,3)</f>
        <v>7.5999999999999998E-2</v>
      </c>
      <c r="F662" s="111" t="s">
        <v>45</v>
      </c>
      <c r="G662" s="112"/>
      <c r="H662" s="19">
        <f>126*I660</f>
        <v>126</v>
      </c>
      <c r="I662" s="53">
        <f>ROUND(0.68*0.888,2)</f>
        <v>0.6</v>
      </c>
      <c r="J662" s="98"/>
    </row>
    <row r="663" spans="2:10" ht="15.75" x14ac:dyDescent="0.25">
      <c r="B663" s="114"/>
      <c r="C663" s="116"/>
      <c r="D663" s="118"/>
      <c r="E663" s="120"/>
      <c r="F663" s="127" t="s">
        <v>50</v>
      </c>
      <c r="G663" s="128"/>
      <c r="H663" s="128"/>
      <c r="I663" s="129"/>
      <c r="J663" s="98"/>
    </row>
    <row r="664" spans="2:10" ht="15.75" x14ac:dyDescent="0.25">
      <c r="B664" s="113">
        <v>591</v>
      </c>
      <c r="C664" s="115" t="s">
        <v>68</v>
      </c>
      <c r="D664" s="117" t="s">
        <v>44</v>
      </c>
      <c r="E664" s="119">
        <f>ROUND((H664*I664)/1000,4)</f>
        <v>3.3999999999999998E-3</v>
      </c>
      <c r="F664" s="111" t="s">
        <v>52</v>
      </c>
      <c r="G664" s="112"/>
      <c r="H664" s="19">
        <f>10*I660</f>
        <v>10</v>
      </c>
      <c r="I664" s="53">
        <f>ROUND(0.55*0.617,2)</f>
        <v>0.34</v>
      </c>
      <c r="J664" s="98"/>
    </row>
    <row r="665" spans="2:10" ht="15.75" x14ac:dyDescent="0.25">
      <c r="B665" s="130"/>
      <c r="C665" s="116"/>
      <c r="D665" s="131"/>
      <c r="E665" s="132"/>
      <c r="F665" s="127" t="s">
        <v>53</v>
      </c>
      <c r="G665" s="128"/>
      <c r="H665" s="128"/>
      <c r="I665" s="129"/>
      <c r="J665" s="98"/>
    </row>
    <row r="666" spans="2:10" ht="15.75" x14ac:dyDescent="0.25">
      <c r="B666" s="149">
        <v>592</v>
      </c>
      <c r="C666" s="115" t="s">
        <v>141</v>
      </c>
      <c r="D666" s="117" t="s">
        <v>44</v>
      </c>
      <c r="E666" s="119">
        <f>ROUND((H666*I666)/1000,4)</f>
        <v>1.1999999999999999E-3</v>
      </c>
      <c r="F666" s="111" t="s">
        <v>94</v>
      </c>
      <c r="G666" s="112"/>
      <c r="H666" s="19">
        <f>10*I660</f>
        <v>10</v>
      </c>
      <c r="I666" s="53">
        <f>ROUND(0.2*0.617,2)</f>
        <v>0.12</v>
      </c>
      <c r="J666" s="98"/>
    </row>
    <row r="667" spans="2:10" ht="15.75" x14ac:dyDescent="0.25">
      <c r="B667" s="149"/>
      <c r="C667" s="116"/>
      <c r="D667" s="131"/>
      <c r="E667" s="120"/>
      <c r="F667" s="127" t="s">
        <v>53</v>
      </c>
      <c r="G667" s="128"/>
      <c r="H667" s="128"/>
      <c r="I667" s="129"/>
      <c r="J667" s="98"/>
    </row>
    <row r="668" spans="2:10" ht="15.75" x14ac:dyDescent="0.25">
      <c r="B668" s="80">
        <v>593</v>
      </c>
      <c r="C668" s="33" t="s">
        <v>54</v>
      </c>
      <c r="D668" s="86" t="s">
        <v>44</v>
      </c>
      <c r="E668" s="86">
        <f>ROUND(H668*I668/1000,3)</f>
        <v>5.0000000000000001E-3</v>
      </c>
      <c r="F668" s="121" t="s">
        <v>5</v>
      </c>
      <c r="G668" s="122"/>
      <c r="H668" s="24">
        <f>10*I660</f>
        <v>10</v>
      </c>
      <c r="I668" s="54">
        <f>ROUND(0.16*0.06*0.006*7850,2)</f>
        <v>0.45</v>
      </c>
      <c r="J668" s="98"/>
    </row>
    <row r="669" spans="2:10" ht="15.75" x14ac:dyDescent="0.25">
      <c r="B669" s="80">
        <v>594</v>
      </c>
      <c r="C669" s="33" t="s">
        <v>55</v>
      </c>
      <c r="D669" s="86" t="s">
        <v>44</v>
      </c>
      <c r="E669" s="86">
        <f>ROUND((H669*I669)/1000,3)</f>
        <v>1.0999999999999999E-2</v>
      </c>
      <c r="F669" s="121" t="s">
        <v>4</v>
      </c>
      <c r="G669" s="122"/>
      <c r="H669" s="24">
        <f>11*I660</f>
        <v>11</v>
      </c>
      <c r="I669" s="54">
        <f>ROUND(0.19*0.07*0.01*7850,2)</f>
        <v>1.04</v>
      </c>
      <c r="J669" s="98"/>
    </row>
    <row r="670" spans="2:10" ht="15.75" x14ac:dyDescent="0.25">
      <c r="B670" s="80">
        <v>595</v>
      </c>
      <c r="C670" s="33" t="s">
        <v>48</v>
      </c>
      <c r="D670" s="86" t="s">
        <v>44</v>
      </c>
      <c r="E670" s="89">
        <f>ROUND((I670*H670)/1000,3)</f>
        <v>3.7999999999999999E-2</v>
      </c>
      <c r="F670" s="121" t="s">
        <v>56</v>
      </c>
      <c r="G670" s="122"/>
      <c r="H670" s="28">
        <f>11.95*I660</f>
        <v>11.95</v>
      </c>
      <c r="I670" s="67">
        <v>3.17</v>
      </c>
      <c r="J670" s="98"/>
    </row>
    <row r="671" spans="2:10" ht="15.75" x14ac:dyDescent="0.25">
      <c r="B671" s="80">
        <v>596</v>
      </c>
      <c r="C671" s="88" t="s">
        <v>59</v>
      </c>
      <c r="D671" s="86" t="s">
        <v>10</v>
      </c>
      <c r="E671" s="86">
        <f>10*I660</f>
        <v>10</v>
      </c>
      <c r="F671" s="133" t="s">
        <v>22</v>
      </c>
      <c r="G671" s="134"/>
      <c r="H671" s="134"/>
      <c r="I671" s="135"/>
      <c r="J671" s="98"/>
    </row>
    <row r="672" spans="2:10" ht="15.75" x14ac:dyDescent="0.25">
      <c r="B672" s="80">
        <v>597</v>
      </c>
      <c r="C672" s="88" t="s">
        <v>57</v>
      </c>
      <c r="D672" s="86" t="s">
        <v>10</v>
      </c>
      <c r="E672" s="86">
        <f>10*I660</f>
        <v>10</v>
      </c>
      <c r="F672" s="143" t="s">
        <v>58</v>
      </c>
      <c r="G672" s="143"/>
      <c r="H672" s="143"/>
      <c r="I672" s="144"/>
      <c r="J672" s="104"/>
    </row>
    <row r="673" spans="2:10" ht="15.75" x14ac:dyDescent="0.25">
      <c r="B673" s="80">
        <v>598</v>
      </c>
      <c r="C673" s="33" t="s">
        <v>60</v>
      </c>
      <c r="D673" s="86" t="s">
        <v>44</v>
      </c>
      <c r="E673" s="86">
        <f>ROUND((I673*H673)/1000,3)</f>
        <v>0.186</v>
      </c>
      <c r="F673" s="121" t="s">
        <v>61</v>
      </c>
      <c r="G673" s="122"/>
      <c r="H673" s="22">
        <f>117.69*I660</f>
        <v>117.69</v>
      </c>
      <c r="I673" s="55">
        <f>ROUND(1.578,2)</f>
        <v>1.58</v>
      </c>
      <c r="J673" s="98"/>
    </row>
    <row r="674" spans="2:10" ht="15.75" x14ac:dyDescent="0.25">
      <c r="B674" s="80">
        <v>599</v>
      </c>
      <c r="C674" s="33" t="s">
        <v>62</v>
      </c>
      <c r="D674" s="86" t="s">
        <v>27</v>
      </c>
      <c r="E674" s="86">
        <f>2.1*I660</f>
        <v>2.1</v>
      </c>
      <c r="F674" s="121" t="s">
        <v>21</v>
      </c>
      <c r="G674" s="122"/>
      <c r="H674" s="122"/>
      <c r="I674" s="123"/>
      <c r="J674" s="104"/>
    </row>
    <row r="675" spans="2:10" ht="15.75" x14ac:dyDescent="0.25">
      <c r="B675" s="80">
        <v>600</v>
      </c>
      <c r="C675" s="88" t="s">
        <v>81</v>
      </c>
      <c r="D675" s="86" t="s">
        <v>11</v>
      </c>
      <c r="E675" s="4">
        <f>E674/0.16</f>
        <v>13.125</v>
      </c>
      <c r="F675" s="121" t="s">
        <v>22</v>
      </c>
      <c r="G675" s="122"/>
      <c r="H675" s="122"/>
      <c r="I675" s="123"/>
      <c r="J675" s="104"/>
    </row>
    <row r="676" spans="2:10" ht="15.75" x14ac:dyDescent="0.25">
      <c r="B676" s="80">
        <v>601</v>
      </c>
      <c r="C676" s="88" t="s">
        <v>90</v>
      </c>
      <c r="D676" s="86" t="s">
        <v>27</v>
      </c>
      <c r="E676" s="92">
        <f>(((0.09*0.01*(0.064+0.01+0.064))*4)+((0.09*0.01*0.064)*2))*I660</f>
        <v>6.1200000000000002E-4</v>
      </c>
      <c r="F676" s="124" t="s">
        <v>139</v>
      </c>
      <c r="G676" s="125"/>
      <c r="H676" s="125"/>
      <c r="I676" s="126"/>
      <c r="J676" s="105"/>
    </row>
    <row r="677" spans="2:10" ht="15.75" x14ac:dyDescent="0.25">
      <c r="B677" s="80">
        <v>602</v>
      </c>
      <c r="C677" s="33" t="s">
        <v>46</v>
      </c>
      <c r="D677" s="86" t="s">
        <v>11</v>
      </c>
      <c r="E677" s="4">
        <f>(E661+E668+E669)*24</f>
        <v>10.44</v>
      </c>
      <c r="F677" s="133" t="s">
        <v>82</v>
      </c>
      <c r="G677" s="134"/>
      <c r="H677" s="134"/>
      <c r="I677" s="135"/>
      <c r="J677" s="98"/>
    </row>
    <row r="678" spans="2:10" ht="32.25" thickBot="1" x14ac:dyDescent="0.3">
      <c r="B678" s="80">
        <v>603</v>
      </c>
      <c r="C678" s="88" t="s">
        <v>47</v>
      </c>
      <c r="D678" s="86" t="s">
        <v>11</v>
      </c>
      <c r="E678" s="4">
        <f>E677</f>
        <v>10.44</v>
      </c>
      <c r="F678" s="136" t="s">
        <v>83</v>
      </c>
      <c r="G678" s="137"/>
      <c r="H678" s="137"/>
      <c r="I678" s="138"/>
      <c r="J678" s="98"/>
    </row>
    <row r="679" spans="2:10" ht="30" customHeight="1" thickTop="1" thickBot="1" x14ac:dyDescent="0.3">
      <c r="B679" s="109" t="s">
        <v>135</v>
      </c>
      <c r="C679" s="110"/>
      <c r="D679" s="110"/>
      <c r="E679" s="110"/>
      <c r="F679" s="110"/>
      <c r="G679" s="110"/>
      <c r="H679" s="110"/>
      <c r="I679" s="21">
        <v>1</v>
      </c>
      <c r="J679" s="103"/>
    </row>
    <row r="680" spans="2:10" ht="16.5" thickTop="1" x14ac:dyDescent="0.25">
      <c r="B680" s="82">
        <v>604</v>
      </c>
      <c r="C680" s="79" t="s">
        <v>42</v>
      </c>
      <c r="D680" s="77" t="s">
        <v>44</v>
      </c>
      <c r="E680" s="85">
        <f>ROUND(H680*I680/1000,3)</f>
        <v>0.27500000000000002</v>
      </c>
      <c r="F680" s="111" t="s">
        <v>51</v>
      </c>
      <c r="G680" s="112"/>
      <c r="H680" s="39">
        <f>19.34*I679</f>
        <v>19.34</v>
      </c>
      <c r="I680" s="95">
        <v>14.2</v>
      </c>
      <c r="J680" s="98"/>
    </row>
    <row r="681" spans="2:10" ht="15.75" x14ac:dyDescent="0.25">
      <c r="B681" s="113">
        <v>605</v>
      </c>
      <c r="C681" s="115" t="s">
        <v>49</v>
      </c>
      <c r="D681" s="117" t="s">
        <v>44</v>
      </c>
      <c r="E681" s="119">
        <f>ROUND((I681*H681)/1000,3)</f>
        <v>3.4000000000000002E-2</v>
      </c>
      <c r="F681" s="111" t="s">
        <v>45</v>
      </c>
      <c r="G681" s="112"/>
      <c r="H681" s="19">
        <f>56*I679</f>
        <v>56</v>
      </c>
      <c r="I681" s="53">
        <f>ROUND(0.68*0.888,2)</f>
        <v>0.6</v>
      </c>
      <c r="J681" s="98"/>
    </row>
    <row r="682" spans="2:10" ht="15.75" x14ac:dyDescent="0.25">
      <c r="B682" s="114"/>
      <c r="C682" s="116"/>
      <c r="D682" s="118"/>
      <c r="E682" s="120"/>
      <c r="F682" s="127" t="s">
        <v>50</v>
      </c>
      <c r="G682" s="128"/>
      <c r="H682" s="128"/>
      <c r="I682" s="129"/>
      <c r="J682" s="98"/>
    </row>
    <row r="683" spans="2:10" ht="15.75" x14ac:dyDescent="0.25">
      <c r="B683" s="113">
        <v>606</v>
      </c>
      <c r="C683" s="115" t="s">
        <v>68</v>
      </c>
      <c r="D683" s="117" t="s">
        <v>44</v>
      </c>
      <c r="E683" s="119">
        <f>ROUND((H683*I683)/1000,3)</f>
        <v>0</v>
      </c>
      <c r="F683" s="111" t="s">
        <v>52</v>
      </c>
      <c r="G683" s="112"/>
      <c r="H683" s="19">
        <f>1*I679</f>
        <v>1</v>
      </c>
      <c r="I683" s="53">
        <f>ROUND(0.55*0.617,2)</f>
        <v>0.34</v>
      </c>
      <c r="J683" s="98"/>
    </row>
    <row r="684" spans="2:10" ht="15.75" x14ac:dyDescent="0.25">
      <c r="B684" s="130"/>
      <c r="C684" s="116"/>
      <c r="D684" s="131"/>
      <c r="E684" s="132"/>
      <c r="F684" s="127" t="s">
        <v>53</v>
      </c>
      <c r="G684" s="128"/>
      <c r="H684" s="128"/>
      <c r="I684" s="129"/>
      <c r="J684" s="98"/>
    </row>
    <row r="685" spans="2:10" ht="15.75" x14ac:dyDescent="0.25">
      <c r="B685" s="149">
        <v>607</v>
      </c>
      <c r="C685" s="115" t="s">
        <v>141</v>
      </c>
      <c r="D685" s="117" t="s">
        <v>44</v>
      </c>
      <c r="E685" s="119">
        <f>ROUND((H685*I685)/1000,4)</f>
        <v>5.0000000000000001E-4</v>
      </c>
      <c r="F685" s="111" t="s">
        <v>94</v>
      </c>
      <c r="G685" s="112"/>
      <c r="H685" s="19">
        <f>4*I679</f>
        <v>4</v>
      </c>
      <c r="I685" s="53">
        <f>ROUND(0.2*0.617,2)</f>
        <v>0.12</v>
      </c>
      <c r="J685" s="98"/>
    </row>
    <row r="686" spans="2:10" ht="15.75" x14ac:dyDescent="0.25">
      <c r="B686" s="149"/>
      <c r="C686" s="116"/>
      <c r="D686" s="131"/>
      <c r="E686" s="120"/>
      <c r="F686" s="127" t="s">
        <v>53</v>
      </c>
      <c r="G686" s="128"/>
      <c r="H686" s="128"/>
      <c r="I686" s="129"/>
      <c r="J686" s="98"/>
    </row>
    <row r="687" spans="2:10" ht="15.75" x14ac:dyDescent="0.25">
      <c r="B687" s="80">
        <v>608</v>
      </c>
      <c r="C687" s="33" t="s">
        <v>54</v>
      </c>
      <c r="D687" s="86" t="s">
        <v>44</v>
      </c>
      <c r="E687" s="86">
        <f>ROUND(H687*I687/1000,3)</f>
        <v>4.0000000000000001E-3</v>
      </c>
      <c r="F687" s="141" t="s">
        <v>5</v>
      </c>
      <c r="G687" s="142"/>
      <c r="H687" s="19">
        <f>9*I679</f>
        <v>9</v>
      </c>
      <c r="I687" s="53">
        <f>ROUND(0.16*0.06*0.006*7850,2)</f>
        <v>0.45</v>
      </c>
      <c r="J687" s="98"/>
    </row>
    <row r="688" spans="2:10" ht="15.75" x14ac:dyDescent="0.25">
      <c r="B688" s="113">
        <v>609</v>
      </c>
      <c r="C688" s="145" t="s">
        <v>55</v>
      </c>
      <c r="D688" s="117" t="s">
        <v>44</v>
      </c>
      <c r="E688" s="147">
        <f>ROUND((H689*I689)/1000,3)+ROUND((H688*I688)/1000,3)</f>
        <v>9.0000000000000011E-3</v>
      </c>
      <c r="F688" s="141" t="s">
        <v>4</v>
      </c>
      <c r="G688" s="142"/>
      <c r="H688" s="19">
        <f>8*I679</f>
        <v>8</v>
      </c>
      <c r="I688" s="53">
        <f>ROUND(0.19*0.07*0.01*7850,2)</f>
        <v>1.04</v>
      </c>
      <c r="J688" s="98"/>
    </row>
    <row r="689" spans="1:10" ht="15.75" x14ac:dyDescent="0.25">
      <c r="B689" s="114"/>
      <c r="C689" s="146"/>
      <c r="D689" s="118"/>
      <c r="E689" s="148"/>
      <c r="F689" s="127" t="s">
        <v>89</v>
      </c>
      <c r="G689" s="128"/>
      <c r="H689" s="30">
        <f>0.34*I679</f>
        <v>0.34</v>
      </c>
      <c r="I689" s="61">
        <f>ROUND(3.77*1,2)</f>
        <v>3.77</v>
      </c>
      <c r="J689" s="98">
        <f>0.34*3.77</f>
        <v>1.2818000000000001</v>
      </c>
    </row>
    <row r="690" spans="1:10" ht="15.75" x14ac:dyDescent="0.25">
      <c r="B690" s="80">
        <v>610</v>
      </c>
      <c r="C690" s="33" t="s">
        <v>80</v>
      </c>
      <c r="D690" s="86" t="s">
        <v>44</v>
      </c>
      <c r="E690" s="86">
        <f>ROUND(H690*I690/1000,3)</f>
        <v>1.0999999999999999E-2</v>
      </c>
      <c r="F690" s="139" t="s">
        <v>72</v>
      </c>
      <c r="G690" s="140"/>
      <c r="H690" s="69">
        <f>0.23*I679</f>
        <v>0.23</v>
      </c>
      <c r="I690" s="96">
        <v>47.1</v>
      </c>
      <c r="J690" s="98">
        <f>0.23*47.1</f>
        <v>10.833</v>
      </c>
    </row>
    <row r="691" spans="1:10" ht="15.75" x14ac:dyDescent="0.25">
      <c r="B691" s="80">
        <v>611</v>
      </c>
      <c r="C691" s="33" t="s">
        <v>48</v>
      </c>
      <c r="D691" s="86" t="s">
        <v>44</v>
      </c>
      <c r="E691" s="89">
        <f>ROUND((I691*H691)/1000,3)</f>
        <v>1.9E-2</v>
      </c>
      <c r="F691" s="121" t="s">
        <v>56</v>
      </c>
      <c r="G691" s="122"/>
      <c r="H691" s="28">
        <f>5.87*I679</f>
        <v>5.87</v>
      </c>
      <c r="I691" s="67">
        <v>3.17</v>
      </c>
      <c r="J691" s="98"/>
    </row>
    <row r="692" spans="1:10" ht="15.75" x14ac:dyDescent="0.25">
      <c r="B692" s="80">
        <v>612</v>
      </c>
      <c r="C692" s="88" t="s">
        <v>59</v>
      </c>
      <c r="D692" s="86" t="s">
        <v>10</v>
      </c>
      <c r="E692" s="86">
        <f>9*I679</f>
        <v>9</v>
      </c>
      <c r="F692" s="133" t="s">
        <v>22</v>
      </c>
      <c r="G692" s="134"/>
      <c r="H692" s="134"/>
      <c r="I692" s="135"/>
      <c r="J692" s="98"/>
    </row>
    <row r="693" spans="1:10" ht="15.75" x14ac:dyDescent="0.25">
      <c r="B693" s="80">
        <v>613</v>
      </c>
      <c r="C693" s="88" t="s">
        <v>57</v>
      </c>
      <c r="D693" s="86" t="s">
        <v>10</v>
      </c>
      <c r="E693" s="86">
        <f>9*I679</f>
        <v>9</v>
      </c>
      <c r="F693" s="143" t="s">
        <v>58</v>
      </c>
      <c r="G693" s="143"/>
      <c r="H693" s="143"/>
      <c r="I693" s="144"/>
      <c r="J693" s="104"/>
    </row>
    <row r="694" spans="1:10" ht="15.75" x14ac:dyDescent="0.25">
      <c r="B694" s="80">
        <v>614</v>
      </c>
      <c r="C694" s="33" t="s">
        <v>60</v>
      </c>
      <c r="D694" s="86" t="s">
        <v>44</v>
      </c>
      <c r="E694" s="86">
        <f>ROUND((I694*H694)/1000,3)</f>
        <v>9.9000000000000005E-2</v>
      </c>
      <c r="F694" s="121" t="s">
        <v>61</v>
      </c>
      <c r="G694" s="122"/>
      <c r="H694" s="22">
        <f>62.9*I679</f>
        <v>62.9</v>
      </c>
      <c r="I694" s="55">
        <f>ROUND(1.578,2)</f>
        <v>1.58</v>
      </c>
      <c r="J694" s="98"/>
    </row>
    <row r="695" spans="1:10" ht="15.75" x14ac:dyDescent="0.25">
      <c r="B695" s="80">
        <v>615</v>
      </c>
      <c r="C695" s="33" t="s">
        <v>62</v>
      </c>
      <c r="D695" s="86" t="s">
        <v>27</v>
      </c>
      <c r="E695" s="86">
        <f>1.07*I679</f>
        <v>1.07</v>
      </c>
      <c r="F695" s="121" t="s">
        <v>21</v>
      </c>
      <c r="G695" s="122"/>
      <c r="H695" s="122"/>
      <c r="I695" s="123"/>
      <c r="J695" s="104"/>
    </row>
    <row r="696" spans="1:10" ht="15.75" x14ac:dyDescent="0.25">
      <c r="B696" s="80">
        <v>616</v>
      </c>
      <c r="C696" s="88" t="s">
        <v>81</v>
      </c>
      <c r="D696" s="86" t="s">
        <v>11</v>
      </c>
      <c r="E696" s="4">
        <f>E695/0.16</f>
        <v>6.6875</v>
      </c>
      <c r="F696" s="121" t="s">
        <v>22</v>
      </c>
      <c r="G696" s="122"/>
      <c r="H696" s="122"/>
      <c r="I696" s="123"/>
      <c r="J696" s="104"/>
    </row>
    <row r="697" spans="1:10" ht="15.75" x14ac:dyDescent="0.25">
      <c r="B697" s="80">
        <v>617</v>
      </c>
      <c r="C697" s="88" t="s">
        <v>90</v>
      </c>
      <c r="D697" s="86" t="s">
        <v>27</v>
      </c>
      <c r="E697" s="92">
        <f>(((0.09*0.01*(0.064+0.01+0.064))*4)+((0.09*0.01*0.064)*1))*I679</f>
        <v>5.5440000000000003E-4</v>
      </c>
      <c r="F697" s="124" t="s">
        <v>139</v>
      </c>
      <c r="G697" s="125"/>
      <c r="H697" s="125"/>
      <c r="I697" s="126"/>
      <c r="J697" s="105"/>
    </row>
    <row r="698" spans="1:10" ht="15.75" x14ac:dyDescent="0.25">
      <c r="B698" s="80">
        <v>618</v>
      </c>
      <c r="C698" s="33" t="s">
        <v>46</v>
      </c>
      <c r="D698" s="86" t="s">
        <v>11</v>
      </c>
      <c r="E698" s="4">
        <f>(E680+E687+E688+E690)*24</f>
        <v>7.176000000000001</v>
      </c>
      <c r="F698" s="133" t="s">
        <v>82</v>
      </c>
      <c r="G698" s="134"/>
      <c r="H698" s="134"/>
      <c r="I698" s="135"/>
      <c r="J698" s="98"/>
    </row>
    <row r="699" spans="1:10" ht="32.25" thickBot="1" x14ac:dyDescent="0.3">
      <c r="B699" s="56">
        <v>619</v>
      </c>
      <c r="C699" s="57" t="s">
        <v>47</v>
      </c>
      <c r="D699" s="58" t="s">
        <v>11</v>
      </c>
      <c r="E699" s="59">
        <f>E698*24</f>
        <v>172.22400000000002</v>
      </c>
      <c r="F699" s="136" t="s">
        <v>83</v>
      </c>
      <c r="G699" s="137"/>
      <c r="H699" s="137"/>
      <c r="I699" s="138"/>
      <c r="J699" s="98"/>
    </row>
    <row r="700" spans="1:10" ht="25.5" customHeight="1" thickTop="1" thickBot="1" x14ac:dyDescent="0.3">
      <c r="A700" s="40"/>
      <c r="B700" s="93"/>
      <c r="C700" s="97"/>
      <c r="D700" s="93"/>
      <c r="E700" s="9"/>
      <c r="F700" s="78"/>
      <c r="G700" s="78"/>
      <c r="H700" s="78"/>
      <c r="I700" s="78"/>
      <c r="J700" s="98"/>
    </row>
    <row r="701" spans="1:10" ht="24.75" customHeight="1" thickTop="1" thickBot="1" x14ac:dyDescent="0.3">
      <c r="B701" s="199" t="s">
        <v>144</v>
      </c>
      <c r="C701" s="200"/>
      <c r="D701" s="200"/>
      <c r="E701" s="200"/>
      <c r="F701" s="200"/>
      <c r="G701" s="200"/>
      <c r="H701" s="200"/>
      <c r="I701" s="201"/>
    </row>
    <row r="702" spans="1:10" ht="32.25" customHeight="1" thickTop="1" thickBot="1" x14ac:dyDescent="0.3">
      <c r="B702" s="109" t="s">
        <v>155</v>
      </c>
      <c r="C702" s="110"/>
      <c r="D702" s="110"/>
      <c r="E702" s="110"/>
      <c r="F702" s="110"/>
      <c r="G702" s="110"/>
      <c r="H702" s="110"/>
      <c r="I702" s="21">
        <f>5</f>
        <v>5</v>
      </c>
    </row>
    <row r="703" spans="1:10" ht="16.5" thickTop="1" x14ac:dyDescent="0.25">
      <c r="B703" s="113">
        <v>1</v>
      </c>
      <c r="C703" s="115" t="s">
        <v>151</v>
      </c>
      <c r="D703" s="117" t="s">
        <v>44</v>
      </c>
      <c r="E703" s="119">
        <f>ROUND((I703*H703)/1000,3)</f>
        <v>2E-3</v>
      </c>
      <c r="F703" s="111" t="s">
        <v>150</v>
      </c>
      <c r="G703" s="112"/>
      <c r="H703" s="107">
        <f>2*I702</f>
        <v>10</v>
      </c>
      <c r="I703" s="52">
        <f>ROUND(0.31*0.617,2)</f>
        <v>0.19</v>
      </c>
    </row>
    <row r="704" spans="1:10" ht="15.75" x14ac:dyDescent="0.25">
      <c r="B704" s="114"/>
      <c r="C704" s="116"/>
      <c r="D704" s="118"/>
      <c r="E704" s="120"/>
      <c r="F704" s="127" t="s">
        <v>53</v>
      </c>
      <c r="G704" s="128"/>
      <c r="H704" s="128"/>
      <c r="I704" s="129"/>
    </row>
    <row r="705" spans="2:9" ht="15.75" x14ac:dyDescent="0.25">
      <c r="B705" s="113">
        <v>2</v>
      </c>
      <c r="C705" s="115" t="s">
        <v>154</v>
      </c>
      <c r="D705" s="117" t="s">
        <v>44</v>
      </c>
      <c r="E705" s="119">
        <f>ROUND((I705*H705)/1000,3)</f>
        <v>7.5999999999999998E-2</v>
      </c>
      <c r="F705" s="111" t="s">
        <v>148</v>
      </c>
      <c r="G705" s="112"/>
      <c r="H705" s="19">
        <f>28*I702</f>
        <v>140</v>
      </c>
      <c r="I705" s="53">
        <f>ROUND(0.875*0.617,2)</f>
        <v>0.54</v>
      </c>
    </row>
    <row r="706" spans="2:9" ht="15.75" x14ac:dyDescent="0.25">
      <c r="B706" s="114"/>
      <c r="C706" s="116"/>
      <c r="D706" s="118"/>
      <c r="E706" s="120"/>
      <c r="F706" s="127" t="s">
        <v>53</v>
      </c>
      <c r="G706" s="128"/>
      <c r="H706" s="128"/>
      <c r="I706" s="129"/>
    </row>
    <row r="707" spans="2:9" ht="15.75" x14ac:dyDescent="0.25">
      <c r="B707" s="82">
        <v>3</v>
      </c>
      <c r="C707" s="33" t="s">
        <v>60</v>
      </c>
      <c r="D707" s="86" t="s">
        <v>44</v>
      </c>
      <c r="E707" s="86">
        <f>ROUND((I707*H707)/1000,3)</f>
        <v>8.6999999999999994E-2</v>
      </c>
      <c r="F707" s="141" t="s">
        <v>147</v>
      </c>
      <c r="G707" s="142"/>
      <c r="H707" s="39">
        <f>28.07*I702</f>
        <v>140.35</v>
      </c>
      <c r="I707" s="95">
        <f>ROUND(0.617,2)</f>
        <v>0.62</v>
      </c>
    </row>
    <row r="708" spans="2:9" ht="15.75" x14ac:dyDescent="0.25">
      <c r="B708" s="113">
        <v>4</v>
      </c>
      <c r="C708" s="145" t="s">
        <v>55</v>
      </c>
      <c r="D708" s="117" t="s">
        <v>44</v>
      </c>
      <c r="E708" s="189">
        <f>ROUND((I709*H709)/1000,3)+ROUND((I708*H708)/1000,3)</f>
        <v>0.10199999999999999</v>
      </c>
      <c r="F708" s="111" t="s">
        <v>153</v>
      </c>
      <c r="G708" s="112"/>
      <c r="H708" s="19">
        <f>2*I702</f>
        <v>10</v>
      </c>
      <c r="I708" s="53">
        <f>ROUND(5.8*0.19,2)</f>
        <v>1.1000000000000001</v>
      </c>
    </row>
    <row r="709" spans="2:9" ht="15.75" x14ac:dyDescent="0.25">
      <c r="B709" s="114"/>
      <c r="C709" s="146"/>
      <c r="D709" s="118"/>
      <c r="E709" s="190"/>
      <c r="F709" s="127" t="s">
        <v>145</v>
      </c>
      <c r="G709" s="128"/>
      <c r="H709" s="42">
        <f>12*I702</f>
        <v>60</v>
      </c>
      <c r="I709" s="64">
        <f>ROUND(5.8*0.26,2)</f>
        <v>1.51</v>
      </c>
    </row>
    <row r="710" spans="2:9" ht="15.75" x14ac:dyDescent="0.25">
      <c r="B710" s="80">
        <v>5</v>
      </c>
      <c r="C710" s="33" t="s">
        <v>62</v>
      </c>
      <c r="D710" s="86" t="s">
        <v>27</v>
      </c>
      <c r="E710" s="86">
        <f>ROUND((4.06*0.47*0.16),2)*I702</f>
        <v>1.55</v>
      </c>
      <c r="F710" s="121" t="s">
        <v>21</v>
      </c>
      <c r="G710" s="122"/>
      <c r="H710" s="122"/>
      <c r="I710" s="123"/>
    </row>
    <row r="711" spans="2:9" ht="15.75" x14ac:dyDescent="0.25">
      <c r="B711" s="80">
        <v>6</v>
      </c>
      <c r="C711" s="88" t="s">
        <v>81</v>
      </c>
      <c r="D711" s="86" t="s">
        <v>11</v>
      </c>
      <c r="E711" s="4">
        <f>E710/0.16</f>
        <v>9.6875</v>
      </c>
      <c r="F711" s="121" t="s">
        <v>22</v>
      </c>
      <c r="G711" s="122"/>
      <c r="H711" s="122"/>
      <c r="I711" s="123"/>
    </row>
    <row r="712" spans="2:9" ht="15.75" x14ac:dyDescent="0.25">
      <c r="B712" s="80">
        <v>7</v>
      </c>
      <c r="C712" s="33" t="s">
        <v>46</v>
      </c>
      <c r="D712" s="86" t="s">
        <v>11</v>
      </c>
      <c r="E712" s="4">
        <f>(E708)*24</f>
        <v>2.448</v>
      </c>
      <c r="F712" s="133" t="s">
        <v>82</v>
      </c>
      <c r="G712" s="134"/>
      <c r="H712" s="134"/>
      <c r="I712" s="135"/>
    </row>
    <row r="713" spans="2:9" ht="32.25" thickBot="1" x14ac:dyDescent="0.3">
      <c r="B713" s="56">
        <v>8</v>
      </c>
      <c r="C713" s="57" t="s">
        <v>47</v>
      </c>
      <c r="D713" s="58" t="s">
        <v>11</v>
      </c>
      <c r="E713" s="59">
        <f>E712</f>
        <v>2.448</v>
      </c>
      <c r="F713" s="136" t="s">
        <v>83</v>
      </c>
      <c r="G713" s="137"/>
      <c r="H713" s="137"/>
      <c r="I713" s="138"/>
    </row>
    <row r="714" spans="2:9" ht="34.5" customHeight="1" thickTop="1" thickBot="1" x14ac:dyDescent="0.3">
      <c r="B714" s="109" t="s">
        <v>152</v>
      </c>
      <c r="C714" s="110"/>
      <c r="D714" s="110"/>
      <c r="E714" s="110"/>
      <c r="F714" s="110"/>
      <c r="G714" s="110"/>
      <c r="H714" s="110"/>
      <c r="I714" s="21">
        <v>3</v>
      </c>
    </row>
    <row r="715" spans="2:9" ht="16.5" thickTop="1" x14ac:dyDescent="0.25">
      <c r="B715" s="113">
        <v>9</v>
      </c>
      <c r="C715" s="115" t="s">
        <v>151</v>
      </c>
      <c r="D715" s="117" t="s">
        <v>44</v>
      </c>
      <c r="E715" s="119">
        <f>ROUND((I715*H715)/1000,3)</f>
        <v>1E-3</v>
      </c>
      <c r="F715" s="111" t="s">
        <v>150</v>
      </c>
      <c r="G715" s="112"/>
      <c r="H715" s="107">
        <f>2*I714</f>
        <v>6</v>
      </c>
      <c r="I715" s="52">
        <f>ROUND(0.31*0.617,2)</f>
        <v>0.19</v>
      </c>
    </row>
    <row r="716" spans="2:9" ht="15.75" x14ac:dyDescent="0.25">
      <c r="B716" s="114"/>
      <c r="C716" s="116"/>
      <c r="D716" s="118"/>
      <c r="E716" s="120"/>
      <c r="F716" s="127" t="s">
        <v>53</v>
      </c>
      <c r="G716" s="128"/>
      <c r="H716" s="128"/>
      <c r="I716" s="129"/>
    </row>
    <row r="717" spans="2:9" ht="15.75" x14ac:dyDescent="0.25">
      <c r="B717" s="113">
        <v>10</v>
      </c>
      <c r="C717" s="115" t="s">
        <v>149</v>
      </c>
      <c r="D717" s="117" t="s">
        <v>44</v>
      </c>
      <c r="E717" s="119">
        <f>ROUND((I717*H717)/1000,3)</f>
        <v>3.6999999999999998E-2</v>
      </c>
      <c r="F717" s="111" t="s">
        <v>148</v>
      </c>
      <c r="G717" s="112"/>
      <c r="H717" s="19">
        <f>23*I714</f>
        <v>69</v>
      </c>
      <c r="I717" s="53">
        <f>ROUND(0.875*0.617,2)</f>
        <v>0.54</v>
      </c>
    </row>
    <row r="718" spans="2:9" ht="15.75" x14ac:dyDescent="0.25">
      <c r="B718" s="114"/>
      <c r="C718" s="116"/>
      <c r="D718" s="118"/>
      <c r="E718" s="120"/>
      <c r="F718" s="127" t="s">
        <v>53</v>
      </c>
      <c r="G718" s="128"/>
      <c r="H718" s="128"/>
      <c r="I718" s="129"/>
    </row>
    <row r="719" spans="2:9" ht="15.75" x14ac:dyDescent="0.25">
      <c r="B719" s="82">
        <v>11</v>
      </c>
      <c r="C719" s="33" t="s">
        <v>60</v>
      </c>
      <c r="D719" s="86" t="s">
        <v>44</v>
      </c>
      <c r="E719" s="86">
        <f>ROUND((I719*H719)/1000,3)</f>
        <v>4.2999999999999997E-2</v>
      </c>
      <c r="F719" s="141" t="s">
        <v>147</v>
      </c>
      <c r="G719" s="142"/>
      <c r="H719" s="39">
        <f>23.2*I714</f>
        <v>69.599999999999994</v>
      </c>
      <c r="I719" s="95">
        <f>ROUND(0.617,2)</f>
        <v>0.62</v>
      </c>
    </row>
    <row r="720" spans="2:9" ht="15.75" x14ac:dyDescent="0.25">
      <c r="B720" s="113">
        <v>12</v>
      </c>
      <c r="C720" s="145" t="s">
        <v>55</v>
      </c>
      <c r="D720" s="117" t="s">
        <v>44</v>
      </c>
      <c r="E720" s="189">
        <f>ROUND((I721*H721)/1000,3)+ROUND((I720*H720)/1000,3)</f>
        <v>4.9999999999999996E-2</v>
      </c>
      <c r="F720" s="111" t="s">
        <v>146</v>
      </c>
      <c r="G720" s="112"/>
      <c r="H720" s="19">
        <f>2*I714</f>
        <v>6</v>
      </c>
      <c r="I720" s="53">
        <f>ROUND(5.8*0.14,2)</f>
        <v>0.81</v>
      </c>
    </row>
    <row r="721" spans="2:9" ht="15.75" x14ac:dyDescent="0.25">
      <c r="B721" s="114"/>
      <c r="C721" s="146"/>
      <c r="D721" s="118"/>
      <c r="E721" s="190"/>
      <c r="F721" s="127" t="s">
        <v>145</v>
      </c>
      <c r="G721" s="128"/>
      <c r="H721" s="42">
        <f>10*I714</f>
        <v>30</v>
      </c>
      <c r="I721" s="64">
        <f>ROUND(5.8*0.26,2)</f>
        <v>1.51</v>
      </c>
    </row>
    <row r="722" spans="2:9" ht="15.75" x14ac:dyDescent="0.25">
      <c r="B722" s="80">
        <v>13</v>
      </c>
      <c r="C722" s="33" t="s">
        <v>62</v>
      </c>
      <c r="D722" s="86" t="s">
        <v>27</v>
      </c>
      <c r="E722" s="86">
        <f>ROUND((3.36*0.47*0.16),2)*I714</f>
        <v>0.75</v>
      </c>
      <c r="F722" s="121" t="s">
        <v>21</v>
      </c>
      <c r="G722" s="122"/>
      <c r="H722" s="122"/>
      <c r="I722" s="123"/>
    </row>
    <row r="723" spans="2:9" ht="15.75" x14ac:dyDescent="0.25">
      <c r="B723" s="80">
        <v>14</v>
      </c>
      <c r="C723" s="88" t="s">
        <v>81</v>
      </c>
      <c r="D723" s="86" t="s">
        <v>11</v>
      </c>
      <c r="E723" s="4">
        <f>E722/0.16</f>
        <v>4.6875</v>
      </c>
      <c r="F723" s="121" t="s">
        <v>22</v>
      </c>
      <c r="G723" s="122"/>
      <c r="H723" s="122"/>
      <c r="I723" s="123"/>
    </row>
    <row r="724" spans="2:9" ht="15.75" x14ac:dyDescent="0.25">
      <c r="B724" s="80">
        <v>15</v>
      </c>
      <c r="C724" s="33" t="s">
        <v>46</v>
      </c>
      <c r="D724" s="86" t="s">
        <v>11</v>
      </c>
      <c r="E724" s="4">
        <f>(E720)*24</f>
        <v>1.2</v>
      </c>
      <c r="F724" s="133" t="s">
        <v>82</v>
      </c>
      <c r="G724" s="134"/>
      <c r="H724" s="134"/>
      <c r="I724" s="135"/>
    </row>
    <row r="725" spans="2:9" ht="32.25" thickBot="1" x14ac:dyDescent="0.3">
      <c r="B725" s="56">
        <v>16</v>
      </c>
      <c r="C725" s="57" t="s">
        <v>47</v>
      </c>
      <c r="D725" s="58" t="s">
        <v>11</v>
      </c>
      <c r="E725" s="59">
        <f>E724</f>
        <v>1.2</v>
      </c>
      <c r="F725" s="136" t="s">
        <v>83</v>
      </c>
      <c r="G725" s="137"/>
      <c r="H725" s="137"/>
      <c r="I725" s="138"/>
    </row>
    <row r="726" spans="2:9" ht="15.75" thickTop="1" x14ac:dyDescent="0.25"/>
  </sheetData>
  <mergeCells count="1154">
    <mergeCell ref="F716:I716"/>
    <mergeCell ref="F708:G708"/>
    <mergeCell ref="F709:G709"/>
    <mergeCell ref="C708:C709"/>
    <mergeCell ref="B708:B709"/>
    <mergeCell ref="D708:D709"/>
    <mergeCell ref="E708:E709"/>
    <mergeCell ref="F723:I723"/>
    <mergeCell ref="B717:B718"/>
    <mergeCell ref="C717:C718"/>
    <mergeCell ref="D717:D718"/>
    <mergeCell ref="E717:E718"/>
    <mergeCell ref="F717:G717"/>
    <mergeCell ref="F718:I718"/>
    <mergeCell ref="F719:G719"/>
    <mergeCell ref="B720:B721"/>
    <mergeCell ref="C720:C721"/>
    <mergeCell ref="D720:D721"/>
    <mergeCell ref="E720:E721"/>
    <mergeCell ref="F720:G720"/>
    <mergeCell ref="F721:G721"/>
    <mergeCell ref="B5:I5"/>
    <mergeCell ref="B6:I6"/>
    <mergeCell ref="B8:I8"/>
    <mergeCell ref="B701:I701"/>
    <mergeCell ref="F713:I713"/>
    <mergeCell ref="B714:H714"/>
    <mergeCell ref="F722:I722"/>
    <mergeCell ref="F724:I724"/>
    <mergeCell ref="F725:I725"/>
    <mergeCell ref="F710:I710"/>
    <mergeCell ref="F705:G705"/>
    <mergeCell ref="F706:I706"/>
    <mergeCell ref="F711:I711"/>
    <mergeCell ref="F712:I712"/>
    <mergeCell ref="F707:G707"/>
    <mergeCell ref="B702:H702"/>
    <mergeCell ref="F703:G703"/>
    <mergeCell ref="F704:I704"/>
    <mergeCell ref="E705:E706"/>
    <mergeCell ref="D705:D706"/>
    <mergeCell ref="B705:B706"/>
    <mergeCell ref="C705:C706"/>
    <mergeCell ref="E703:E704"/>
    <mergeCell ref="D703:D704"/>
    <mergeCell ref="B703:B704"/>
    <mergeCell ref="C703:C704"/>
    <mergeCell ref="B715:B716"/>
    <mergeCell ref="C715:C716"/>
    <mergeCell ref="D715:D716"/>
    <mergeCell ref="E715:E716"/>
    <mergeCell ref="F715:G715"/>
    <mergeCell ref="F451:I451"/>
    <mergeCell ref="F453:I453"/>
    <mergeCell ref="F438:I438"/>
    <mergeCell ref="B439:B440"/>
    <mergeCell ref="C439:C440"/>
    <mergeCell ref="D439:D440"/>
    <mergeCell ref="E439:E440"/>
    <mergeCell ref="F439:G439"/>
    <mergeCell ref="F440:I440"/>
    <mergeCell ref="B441:B442"/>
    <mergeCell ref="C441:C442"/>
    <mergeCell ref="D441:D442"/>
    <mergeCell ref="E441:E442"/>
    <mergeCell ref="F441:G441"/>
    <mergeCell ref="F442:I442"/>
    <mergeCell ref="F601:I601"/>
    <mergeCell ref="F621:I621"/>
    <mergeCell ref="B610:B611"/>
    <mergeCell ref="F580:I580"/>
    <mergeCell ref="F583:I583"/>
    <mergeCell ref="F602:I602"/>
    <mergeCell ref="F603:I603"/>
    <mergeCell ref="F593:G593"/>
    <mergeCell ref="F595:G595"/>
    <mergeCell ref="F596:I596"/>
    <mergeCell ref="F594:G594"/>
    <mergeCell ref="B585:H585"/>
    <mergeCell ref="F586:G586"/>
    <mergeCell ref="B587:B588"/>
    <mergeCell ref="C587:C588"/>
    <mergeCell ref="D587:D588"/>
    <mergeCell ref="E587:E588"/>
    <mergeCell ref="F587:G587"/>
    <mergeCell ref="B380:B381"/>
    <mergeCell ref="C380:C381"/>
    <mergeCell ref="D380:D381"/>
    <mergeCell ref="E380:E381"/>
    <mergeCell ref="F380:G380"/>
    <mergeCell ref="F381:I381"/>
    <mergeCell ref="C233:C234"/>
    <mergeCell ref="D233:D234"/>
    <mergeCell ref="E233:E234"/>
    <mergeCell ref="F305:I305"/>
    <mergeCell ref="C303:C305"/>
    <mergeCell ref="B303:B305"/>
    <mergeCell ref="D303:D305"/>
    <mergeCell ref="E303:E305"/>
    <mergeCell ref="B378:B379"/>
    <mergeCell ref="C378:C379"/>
    <mergeCell ref="D378:D379"/>
    <mergeCell ref="E378:E379"/>
    <mergeCell ref="F378:G378"/>
    <mergeCell ref="F379:I379"/>
    <mergeCell ref="F375:G375"/>
    <mergeCell ref="B376:B377"/>
    <mergeCell ref="C376:C377"/>
    <mergeCell ref="D376:D377"/>
    <mergeCell ref="E376:E377"/>
    <mergeCell ref="F376:G376"/>
    <mergeCell ref="F377:I377"/>
    <mergeCell ref="F368:G368"/>
    <mergeCell ref="F369:I369"/>
    <mergeCell ref="F331:G331"/>
    <mergeCell ref="F332:I332"/>
    <mergeCell ref="F333:I333"/>
    <mergeCell ref="F336:I336"/>
    <mergeCell ref="F338:I338"/>
    <mergeCell ref="F339:I339"/>
    <mergeCell ref="B148:H148"/>
    <mergeCell ref="F149:G149"/>
    <mergeCell ref="B150:B151"/>
    <mergeCell ref="C150:C151"/>
    <mergeCell ref="D150:D151"/>
    <mergeCell ref="E150:E151"/>
    <mergeCell ref="F150:G150"/>
    <mergeCell ref="F151:I151"/>
    <mergeCell ref="F157:G157"/>
    <mergeCell ref="F159:I159"/>
    <mergeCell ref="F160:I160"/>
    <mergeCell ref="F161:G161"/>
    <mergeCell ref="F162:I162"/>
    <mergeCell ref="F163:I163"/>
    <mergeCell ref="F165:I165"/>
    <mergeCell ref="F166:I166"/>
    <mergeCell ref="B152:B153"/>
    <mergeCell ref="D327:D328"/>
    <mergeCell ref="E327:E328"/>
    <mergeCell ref="B327:B328"/>
    <mergeCell ref="C152:C153"/>
    <mergeCell ref="D152:D153"/>
    <mergeCell ref="E152:E153"/>
    <mergeCell ref="F152:G152"/>
    <mergeCell ref="F326:G326"/>
    <mergeCell ref="E321:E322"/>
    <mergeCell ref="F321:G321"/>
    <mergeCell ref="F322:I322"/>
    <mergeCell ref="B329:B330"/>
    <mergeCell ref="F330:G330"/>
    <mergeCell ref="F329:G329"/>
    <mergeCell ref="B323:B324"/>
    <mergeCell ref="C323:C324"/>
    <mergeCell ref="D323:D324"/>
    <mergeCell ref="E323:E324"/>
    <mergeCell ref="F323:G323"/>
    <mergeCell ref="F324:I324"/>
    <mergeCell ref="F325:G325"/>
    <mergeCell ref="C327:C328"/>
    <mergeCell ref="D228:D229"/>
    <mergeCell ref="E228:E229"/>
    <mergeCell ref="F228:G228"/>
    <mergeCell ref="F229:I229"/>
    <mergeCell ref="B135:B136"/>
    <mergeCell ref="C135:C136"/>
    <mergeCell ref="D135:D136"/>
    <mergeCell ref="E135:E136"/>
    <mergeCell ref="F135:G135"/>
    <mergeCell ref="F136:I136"/>
    <mergeCell ref="F295:I295"/>
    <mergeCell ref="B296:H296"/>
    <mergeCell ref="F285:G285"/>
    <mergeCell ref="F270:G270"/>
    <mergeCell ref="F271:I271"/>
    <mergeCell ref="B283:B284"/>
    <mergeCell ref="C283:C284"/>
    <mergeCell ref="D283:D284"/>
    <mergeCell ref="E283:E284"/>
    <mergeCell ref="F283:G283"/>
    <mergeCell ref="F284:I284"/>
    <mergeCell ref="B279:H279"/>
    <mergeCell ref="C570:C571"/>
    <mergeCell ref="B570:B571"/>
    <mergeCell ref="D570:D571"/>
    <mergeCell ref="F581:I581"/>
    <mergeCell ref="F574:G574"/>
    <mergeCell ref="F577:I577"/>
    <mergeCell ref="F548:G548"/>
    <mergeCell ref="F540:I540"/>
    <mergeCell ref="F541:G541"/>
    <mergeCell ref="F542:I542"/>
    <mergeCell ref="F545:I545"/>
    <mergeCell ref="F546:I546"/>
    <mergeCell ref="F533:G533"/>
    <mergeCell ref="F537:G537"/>
    <mergeCell ref="F538:G538"/>
    <mergeCell ref="F539:I539"/>
    <mergeCell ref="F534:G534"/>
    <mergeCell ref="F536:G536"/>
    <mergeCell ref="F535:G535"/>
    <mergeCell ref="F543:I543"/>
    <mergeCell ref="F327:G327"/>
    <mergeCell ref="F328:I328"/>
    <mergeCell ref="F337:I337"/>
    <mergeCell ref="B321:B322"/>
    <mergeCell ref="C321:C322"/>
    <mergeCell ref="D321:D322"/>
    <mergeCell ref="F588:I588"/>
    <mergeCell ref="F589:G589"/>
    <mergeCell ref="F590:I590"/>
    <mergeCell ref="F591:G591"/>
    <mergeCell ref="F592:I592"/>
    <mergeCell ref="F597:I597"/>
    <mergeCell ref="F578:I578"/>
    <mergeCell ref="F579:G579"/>
    <mergeCell ref="F570:G570"/>
    <mergeCell ref="F572:G572"/>
    <mergeCell ref="F573:G573"/>
    <mergeCell ref="F576:G576"/>
    <mergeCell ref="E591:E592"/>
    <mergeCell ref="E589:E590"/>
    <mergeCell ref="D589:D590"/>
    <mergeCell ref="B564:H564"/>
    <mergeCell ref="F565:G565"/>
    <mergeCell ref="B566:B567"/>
    <mergeCell ref="C566:C567"/>
    <mergeCell ref="D566:D567"/>
    <mergeCell ref="E566:E567"/>
    <mergeCell ref="F566:G566"/>
    <mergeCell ref="F567:I567"/>
    <mergeCell ref="D591:D592"/>
    <mergeCell ref="F463:G463"/>
    <mergeCell ref="F469:I469"/>
    <mergeCell ref="C591:C592"/>
    <mergeCell ref="B589:B590"/>
    <mergeCell ref="B591:B592"/>
    <mergeCell ref="C589:C590"/>
    <mergeCell ref="F557:I557"/>
    <mergeCell ref="F558:G558"/>
    <mergeCell ref="F559:I559"/>
    <mergeCell ref="F562:I562"/>
    <mergeCell ref="F563:I563"/>
    <mergeCell ref="F560:I560"/>
    <mergeCell ref="F551:G551"/>
    <mergeCell ref="F552:G552"/>
    <mergeCell ref="F554:G554"/>
    <mergeCell ref="F555:G555"/>
    <mergeCell ref="F556:I556"/>
    <mergeCell ref="B549:B550"/>
    <mergeCell ref="C549:C550"/>
    <mergeCell ref="D549:D550"/>
    <mergeCell ref="E549:E550"/>
    <mergeCell ref="F549:G549"/>
    <mergeCell ref="F550:I550"/>
    <mergeCell ref="F553:G553"/>
    <mergeCell ref="F584:I584"/>
    <mergeCell ref="F568:G568"/>
    <mergeCell ref="F569:I569"/>
    <mergeCell ref="F575:G575"/>
    <mergeCell ref="F571:I571"/>
    <mergeCell ref="D568:D569"/>
    <mergeCell ref="C568:C569"/>
    <mergeCell ref="B568:B569"/>
    <mergeCell ref="E568:E569"/>
    <mergeCell ref="E570:E571"/>
    <mergeCell ref="B529:H529"/>
    <mergeCell ref="F530:G530"/>
    <mergeCell ref="B531:B532"/>
    <mergeCell ref="C531:C532"/>
    <mergeCell ref="D531:D532"/>
    <mergeCell ref="E531:E532"/>
    <mergeCell ref="F531:G531"/>
    <mergeCell ref="F532:I532"/>
    <mergeCell ref="B547:H547"/>
    <mergeCell ref="E536:E537"/>
    <mergeCell ref="D536:D537"/>
    <mergeCell ref="B536:B537"/>
    <mergeCell ref="F528:I528"/>
    <mergeCell ref="F510:G510"/>
    <mergeCell ref="F511:I511"/>
    <mergeCell ref="F516:G516"/>
    <mergeCell ref="F519:G519"/>
    <mergeCell ref="F521:I521"/>
    <mergeCell ref="F522:I522"/>
    <mergeCell ref="F527:I527"/>
    <mergeCell ref="F517:G517"/>
    <mergeCell ref="F523:G523"/>
    <mergeCell ref="F512:G512"/>
    <mergeCell ref="F520:G520"/>
    <mergeCell ref="F524:I524"/>
    <mergeCell ref="F514:G514"/>
    <mergeCell ref="F518:G518"/>
    <mergeCell ref="F525:I525"/>
    <mergeCell ref="F513:I513"/>
    <mergeCell ref="F515:I515"/>
    <mergeCell ref="F526:I526"/>
    <mergeCell ref="E514:E515"/>
    <mergeCell ref="D514:D515"/>
    <mergeCell ref="C514:C515"/>
    <mergeCell ref="B514:B515"/>
    <mergeCell ref="F502:G502"/>
    <mergeCell ref="F503:I503"/>
    <mergeCell ref="F506:I506"/>
    <mergeCell ref="F507:I507"/>
    <mergeCell ref="B508:H508"/>
    <mergeCell ref="F509:G509"/>
    <mergeCell ref="B510:B511"/>
    <mergeCell ref="C510:C511"/>
    <mergeCell ref="D510:D511"/>
    <mergeCell ref="E510:E511"/>
    <mergeCell ref="C512:C513"/>
    <mergeCell ref="B512:B513"/>
    <mergeCell ref="D512:D513"/>
    <mergeCell ref="E512:E513"/>
    <mergeCell ref="F505:I505"/>
    <mergeCell ref="F496:G496"/>
    <mergeCell ref="F497:G497"/>
    <mergeCell ref="F499:G499"/>
    <mergeCell ref="F500:I500"/>
    <mergeCell ref="F501:I501"/>
    <mergeCell ref="F504:I504"/>
    <mergeCell ref="F498:G498"/>
    <mergeCell ref="B494:B495"/>
    <mergeCell ref="C494:C495"/>
    <mergeCell ref="D494:D495"/>
    <mergeCell ref="E494:E495"/>
    <mergeCell ref="F494:G494"/>
    <mergeCell ref="F495:I495"/>
    <mergeCell ref="B492:B493"/>
    <mergeCell ref="C492:C493"/>
    <mergeCell ref="D492:D493"/>
    <mergeCell ref="E492:E493"/>
    <mergeCell ref="F492:G492"/>
    <mergeCell ref="F493:I493"/>
    <mergeCell ref="F483:I483"/>
    <mergeCell ref="F484:G484"/>
    <mergeCell ref="F489:I489"/>
    <mergeCell ref="B490:H490"/>
    <mergeCell ref="F491:G491"/>
    <mergeCell ref="F485:I485"/>
    <mergeCell ref="F488:I488"/>
    <mergeCell ref="F486:I486"/>
    <mergeCell ref="B475:B476"/>
    <mergeCell ref="C475:C476"/>
    <mergeCell ref="D475:D476"/>
    <mergeCell ref="E475:E476"/>
    <mergeCell ref="F475:G475"/>
    <mergeCell ref="F476:I476"/>
    <mergeCell ref="F477:G477"/>
    <mergeCell ref="F480:G480"/>
    <mergeCell ref="F482:I482"/>
    <mergeCell ref="F481:G481"/>
    <mergeCell ref="F478:G478"/>
    <mergeCell ref="F468:I468"/>
    <mergeCell ref="B473:H473"/>
    <mergeCell ref="F474:G474"/>
    <mergeCell ref="F479:G479"/>
    <mergeCell ref="F471:I471"/>
    <mergeCell ref="F472:I472"/>
    <mergeCell ref="B457:B458"/>
    <mergeCell ref="C457:C458"/>
    <mergeCell ref="D457:D458"/>
    <mergeCell ref="E457:E458"/>
    <mergeCell ref="F457:G457"/>
    <mergeCell ref="F458:I458"/>
    <mergeCell ref="B459:B460"/>
    <mergeCell ref="C459:C460"/>
    <mergeCell ref="D459:D460"/>
    <mergeCell ref="E459:E460"/>
    <mergeCell ref="F459:G459"/>
    <mergeCell ref="F460:I460"/>
    <mergeCell ref="F462:G462"/>
    <mergeCell ref="F464:G464"/>
    <mergeCell ref="F466:I466"/>
    <mergeCell ref="F465:I465"/>
    <mergeCell ref="F467:G467"/>
    <mergeCell ref="F461:G461"/>
    <mergeCell ref="F433:I433"/>
    <mergeCell ref="F434:I434"/>
    <mergeCell ref="F425:G425"/>
    <mergeCell ref="B455:H455"/>
    <mergeCell ref="F456:G456"/>
    <mergeCell ref="F428:I428"/>
    <mergeCell ref="F430:I430"/>
    <mergeCell ref="F423:I423"/>
    <mergeCell ref="F426:G426"/>
    <mergeCell ref="F427:I427"/>
    <mergeCell ref="F429:G429"/>
    <mergeCell ref="E422:E423"/>
    <mergeCell ref="D422:D423"/>
    <mergeCell ref="C422:C423"/>
    <mergeCell ref="F431:I431"/>
    <mergeCell ref="F422:G422"/>
    <mergeCell ref="F424:G424"/>
    <mergeCell ref="B435:H435"/>
    <mergeCell ref="F436:G436"/>
    <mergeCell ref="B437:B438"/>
    <mergeCell ref="C437:C438"/>
    <mergeCell ref="D437:D438"/>
    <mergeCell ref="E437:E438"/>
    <mergeCell ref="F437:G437"/>
    <mergeCell ref="F454:I454"/>
    <mergeCell ref="F443:G443"/>
    <mergeCell ref="F444:G444"/>
    <mergeCell ref="F446:G446"/>
    <mergeCell ref="F447:I447"/>
    <mergeCell ref="F448:I448"/>
    <mergeCell ref="F449:G449"/>
    <mergeCell ref="F450:I450"/>
    <mergeCell ref="B420:B421"/>
    <mergeCell ref="F420:G420"/>
    <mergeCell ref="F421:I421"/>
    <mergeCell ref="B422:B423"/>
    <mergeCell ref="B416:H416"/>
    <mergeCell ref="F417:G417"/>
    <mergeCell ref="B418:B419"/>
    <mergeCell ref="C418:C419"/>
    <mergeCell ref="D418:D419"/>
    <mergeCell ref="E418:E419"/>
    <mergeCell ref="F418:G418"/>
    <mergeCell ref="F419:I419"/>
    <mergeCell ref="C420:C421"/>
    <mergeCell ref="D420:D421"/>
    <mergeCell ref="E420:E421"/>
    <mergeCell ref="F410:G410"/>
    <mergeCell ref="F411:I411"/>
    <mergeCell ref="F414:I414"/>
    <mergeCell ref="F415:I415"/>
    <mergeCell ref="F403:G403"/>
    <mergeCell ref="F404:G404"/>
    <mergeCell ref="F407:G407"/>
    <mergeCell ref="F408:I408"/>
    <mergeCell ref="F409:I409"/>
    <mergeCell ref="F406:G406"/>
    <mergeCell ref="F405:G405"/>
    <mergeCell ref="F412:I412"/>
    <mergeCell ref="F413:I413"/>
    <mergeCell ref="B401:B402"/>
    <mergeCell ref="C401:C402"/>
    <mergeCell ref="D401:D402"/>
    <mergeCell ref="E401:E402"/>
    <mergeCell ref="F401:G401"/>
    <mergeCell ref="F402:I402"/>
    <mergeCell ref="F396:G396"/>
    <mergeCell ref="B397:B398"/>
    <mergeCell ref="C397:C398"/>
    <mergeCell ref="D397:D398"/>
    <mergeCell ref="E397:E398"/>
    <mergeCell ref="F397:G397"/>
    <mergeCell ref="F398:I398"/>
    <mergeCell ref="B399:B400"/>
    <mergeCell ref="C399:C400"/>
    <mergeCell ref="D399:D400"/>
    <mergeCell ref="E399:E400"/>
    <mergeCell ref="F399:G399"/>
    <mergeCell ref="F400:I400"/>
    <mergeCell ref="F389:G389"/>
    <mergeCell ref="F390:I390"/>
    <mergeCell ref="F393:I393"/>
    <mergeCell ref="F394:I394"/>
    <mergeCell ref="B395:H395"/>
    <mergeCell ref="F382:G382"/>
    <mergeCell ref="F384:G384"/>
    <mergeCell ref="F386:G386"/>
    <mergeCell ref="F387:I387"/>
    <mergeCell ref="F388:I388"/>
    <mergeCell ref="F391:I391"/>
    <mergeCell ref="F383:G383"/>
    <mergeCell ref="D382:D383"/>
    <mergeCell ref="E382:E383"/>
    <mergeCell ref="C382:C383"/>
    <mergeCell ref="B382:B383"/>
    <mergeCell ref="F385:G385"/>
    <mergeCell ref="F350:I350"/>
    <mergeCell ref="F353:I353"/>
    <mergeCell ref="B344:B345"/>
    <mergeCell ref="C344:C345"/>
    <mergeCell ref="D344:D345"/>
    <mergeCell ref="E344:E345"/>
    <mergeCell ref="F344:G344"/>
    <mergeCell ref="F345:I345"/>
    <mergeCell ref="F372:I372"/>
    <mergeCell ref="F373:I373"/>
    <mergeCell ref="B374:H374"/>
    <mergeCell ref="F363:G363"/>
    <mergeCell ref="F364:G364"/>
    <mergeCell ref="F365:G365"/>
    <mergeCell ref="F366:I366"/>
    <mergeCell ref="F367:I367"/>
    <mergeCell ref="F370:I370"/>
    <mergeCell ref="B361:B362"/>
    <mergeCell ref="C361:C362"/>
    <mergeCell ref="D361:D362"/>
    <mergeCell ref="E361:E362"/>
    <mergeCell ref="F361:G361"/>
    <mergeCell ref="F362:I362"/>
    <mergeCell ref="F358:G358"/>
    <mergeCell ref="B359:B360"/>
    <mergeCell ref="C359:C360"/>
    <mergeCell ref="D359:D360"/>
    <mergeCell ref="E359:E360"/>
    <mergeCell ref="F359:G359"/>
    <mergeCell ref="F360:I360"/>
    <mergeCell ref="B342:B343"/>
    <mergeCell ref="C342:C343"/>
    <mergeCell ref="D342:D343"/>
    <mergeCell ref="E342:E343"/>
    <mergeCell ref="F342:G342"/>
    <mergeCell ref="F343:I343"/>
    <mergeCell ref="F309:G309"/>
    <mergeCell ref="F310:I310"/>
    <mergeCell ref="F313:I313"/>
    <mergeCell ref="F314:I314"/>
    <mergeCell ref="B340:H340"/>
    <mergeCell ref="F302:G302"/>
    <mergeCell ref="F303:G303"/>
    <mergeCell ref="F306:G306"/>
    <mergeCell ref="F307:I307"/>
    <mergeCell ref="F308:I308"/>
    <mergeCell ref="B315:H315"/>
    <mergeCell ref="F316:G316"/>
    <mergeCell ref="B317:B318"/>
    <mergeCell ref="C317:C318"/>
    <mergeCell ref="D317:D318"/>
    <mergeCell ref="E317:E318"/>
    <mergeCell ref="F317:G317"/>
    <mergeCell ref="F318:I318"/>
    <mergeCell ref="B319:B320"/>
    <mergeCell ref="C319:C320"/>
    <mergeCell ref="D319:D320"/>
    <mergeCell ref="E319:E320"/>
    <mergeCell ref="F319:G319"/>
    <mergeCell ref="F320:I320"/>
    <mergeCell ref="F334:G334"/>
    <mergeCell ref="F335:I335"/>
    <mergeCell ref="F280:G280"/>
    <mergeCell ref="B281:B282"/>
    <mergeCell ref="C281:C282"/>
    <mergeCell ref="D281:D282"/>
    <mergeCell ref="E281:E282"/>
    <mergeCell ref="F281:G281"/>
    <mergeCell ref="B300:B301"/>
    <mergeCell ref="C300:C301"/>
    <mergeCell ref="D300:D301"/>
    <mergeCell ref="E300:E301"/>
    <mergeCell ref="F300:G300"/>
    <mergeCell ref="F301:I301"/>
    <mergeCell ref="F297:G297"/>
    <mergeCell ref="B298:B299"/>
    <mergeCell ref="C298:C299"/>
    <mergeCell ref="D298:D299"/>
    <mergeCell ref="E298:E299"/>
    <mergeCell ref="F298:G298"/>
    <mergeCell ref="F299:I299"/>
    <mergeCell ref="F290:G290"/>
    <mergeCell ref="F291:I291"/>
    <mergeCell ref="F294:I294"/>
    <mergeCell ref="B230:B231"/>
    <mergeCell ref="F222:I222"/>
    <mergeCell ref="F223:I223"/>
    <mergeCell ref="F208:G208"/>
    <mergeCell ref="F211:G211"/>
    <mergeCell ref="F214:G214"/>
    <mergeCell ref="F215:G215"/>
    <mergeCell ref="F216:I216"/>
    <mergeCell ref="F217:I217"/>
    <mergeCell ref="F212:G212"/>
    <mergeCell ref="F220:I220"/>
    <mergeCell ref="F218:G218"/>
    <mergeCell ref="F251:G251"/>
    <mergeCell ref="F250:G250"/>
    <mergeCell ref="F236:I236"/>
    <mergeCell ref="F234:G234"/>
    <mergeCell ref="F240:I240"/>
    <mergeCell ref="F241:I241"/>
    <mergeCell ref="F248:G248"/>
    <mergeCell ref="F249:I249"/>
    <mergeCell ref="B244:H244"/>
    <mergeCell ref="F245:G245"/>
    <mergeCell ref="B246:B247"/>
    <mergeCell ref="C246:C247"/>
    <mergeCell ref="D246:D247"/>
    <mergeCell ref="E246:E247"/>
    <mergeCell ref="F246:G246"/>
    <mergeCell ref="F247:I247"/>
    <mergeCell ref="B209:B210"/>
    <mergeCell ref="C209:C210"/>
    <mergeCell ref="F195:G195"/>
    <mergeCell ref="F196:G196"/>
    <mergeCell ref="B169:B170"/>
    <mergeCell ref="C169:C170"/>
    <mergeCell ref="D169:D170"/>
    <mergeCell ref="E169:E170"/>
    <mergeCell ref="F169:G169"/>
    <mergeCell ref="F170:I170"/>
    <mergeCell ref="F143:I143"/>
    <mergeCell ref="F146:I146"/>
    <mergeCell ref="B224:H224"/>
    <mergeCell ref="F225:G225"/>
    <mergeCell ref="B226:B227"/>
    <mergeCell ref="C226:C227"/>
    <mergeCell ref="D226:D227"/>
    <mergeCell ref="E226:E227"/>
    <mergeCell ref="F226:G226"/>
    <mergeCell ref="F227:I227"/>
    <mergeCell ref="B154:B155"/>
    <mergeCell ref="C154:C155"/>
    <mergeCell ref="D154:D155"/>
    <mergeCell ref="E154:E155"/>
    <mergeCell ref="F154:G154"/>
    <mergeCell ref="F155:I155"/>
    <mergeCell ref="F158:G158"/>
    <mergeCell ref="F153:I153"/>
    <mergeCell ref="F182:I182"/>
    <mergeCell ref="F185:I185"/>
    <mergeCell ref="F186:I186"/>
    <mergeCell ref="B116:B117"/>
    <mergeCell ref="C116:C117"/>
    <mergeCell ref="D116:D117"/>
    <mergeCell ref="E116:E117"/>
    <mergeCell ref="F116:G116"/>
    <mergeCell ref="F117:I117"/>
    <mergeCell ref="F120:G120"/>
    <mergeCell ref="F121:G121"/>
    <mergeCell ref="F118:G118"/>
    <mergeCell ref="F119:I119"/>
    <mergeCell ref="C118:C119"/>
    <mergeCell ref="B118:B119"/>
    <mergeCell ref="D118:D119"/>
    <mergeCell ref="E118:E119"/>
    <mergeCell ref="F147:I147"/>
    <mergeCell ref="B167:H167"/>
    <mergeCell ref="F156:G156"/>
    <mergeCell ref="F125:G125"/>
    <mergeCell ref="F132:G132"/>
    <mergeCell ref="F139:G139"/>
    <mergeCell ref="F140:I140"/>
    <mergeCell ref="F141:I141"/>
    <mergeCell ref="F137:G137"/>
    <mergeCell ref="F138:G138"/>
    <mergeCell ref="B133:B134"/>
    <mergeCell ref="C133:C134"/>
    <mergeCell ref="D133:D134"/>
    <mergeCell ref="E133:E134"/>
    <mergeCell ref="F133:G133"/>
    <mergeCell ref="F134:I134"/>
    <mergeCell ref="F126:I126"/>
    <mergeCell ref="F129:I129"/>
    <mergeCell ref="E84:E85"/>
    <mergeCell ref="F84:G84"/>
    <mergeCell ref="F85:I85"/>
    <mergeCell ref="B88:B90"/>
    <mergeCell ref="B101:B102"/>
    <mergeCell ref="C101:C102"/>
    <mergeCell ref="D101:D102"/>
    <mergeCell ref="E101:E102"/>
    <mergeCell ref="F101:G101"/>
    <mergeCell ref="F102:I102"/>
    <mergeCell ref="B105:B107"/>
    <mergeCell ref="B112:H112"/>
    <mergeCell ref="B114:B115"/>
    <mergeCell ref="C114:C115"/>
    <mergeCell ref="D114:D115"/>
    <mergeCell ref="E114:E115"/>
    <mergeCell ref="F114:G114"/>
    <mergeCell ref="F115:I115"/>
    <mergeCell ref="F108:I108"/>
    <mergeCell ref="F109:G109"/>
    <mergeCell ref="H109:I109"/>
    <mergeCell ref="F110:I110"/>
    <mergeCell ref="F111:I111"/>
    <mergeCell ref="F113:G113"/>
    <mergeCell ref="F98:G98"/>
    <mergeCell ref="F89:G89"/>
    <mergeCell ref="F106:G106"/>
    <mergeCell ref="F107:I107"/>
    <mergeCell ref="E105:E107"/>
    <mergeCell ref="D105:D107"/>
    <mergeCell ref="C105:C107"/>
    <mergeCell ref="F90:I90"/>
    <mergeCell ref="F78:G78"/>
    <mergeCell ref="F79:I79"/>
    <mergeCell ref="B77:H77"/>
    <mergeCell ref="F73:I73"/>
    <mergeCell ref="F74:G74"/>
    <mergeCell ref="H74:I74"/>
    <mergeCell ref="F75:I75"/>
    <mergeCell ref="F76:I76"/>
    <mergeCell ref="F68:I68"/>
    <mergeCell ref="F69:I69"/>
    <mergeCell ref="F70:G70"/>
    <mergeCell ref="F72:I72"/>
    <mergeCell ref="B96:B97"/>
    <mergeCell ref="C96:C97"/>
    <mergeCell ref="D96:D97"/>
    <mergeCell ref="E96:E97"/>
    <mergeCell ref="F96:G96"/>
    <mergeCell ref="F97:I97"/>
    <mergeCell ref="B95:H95"/>
    <mergeCell ref="F91:I91"/>
    <mergeCell ref="F92:G92"/>
    <mergeCell ref="H92:I92"/>
    <mergeCell ref="F93:I93"/>
    <mergeCell ref="F94:I94"/>
    <mergeCell ref="F86:I86"/>
    <mergeCell ref="F87:I87"/>
    <mergeCell ref="F88:G88"/>
    <mergeCell ref="F82:G82"/>
    <mergeCell ref="F83:G83"/>
    <mergeCell ref="B84:B85"/>
    <mergeCell ref="C84:C85"/>
    <mergeCell ref="D84:D85"/>
    <mergeCell ref="B26:H26"/>
    <mergeCell ref="B28:B29"/>
    <mergeCell ref="C28:C29"/>
    <mergeCell ref="D28:D29"/>
    <mergeCell ref="E28:E29"/>
    <mergeCell ref="F28:G28"/>
    <mergeCell ref="F29:I29"/>
    <mergeCell ref="F34:I34"/>
    <mergeCell ref="F36:I36"/>
    <mergeCell ref="F50:I50"/>
    <mergeCell ref="F51:I51"/>
    <mergeCell ref="F64:G64"/>
    <mergeCell ref="F65:G65"/>
    <mergeCell ref="B66:B67"/>
    <mergeCell ref="C66:C67"/>
    <mergeCell ref="D66:D67"/>
    <mergeCell ref="E66:E67"/>
    <mergeCell ref="F66:G66"/>
    <mergeCell ref="F67:I67"/>
    <mergeCell ref="B60:B61"/>
    <mergeCell ref="C60:C61"/>
    <mergeCell ref="D60:D61"/>
    <mergeCell ref="E60:E61"/>
    <mergeCell ref="F60:G60"/>
    <mergeCell ref="F61:I61"/>
    <mergeCell ref="C62:C63"/>
    <mergeCell ref="D62:D63"/>
    <mergeCell ref="E62:E63"/>
    <mergeCell ref="F62:G62"/>
    <mergeCell ref="B62:B63"/>
    <mergeCell ref="F39:I39"/>
    <mergeCell ref="F40:I40"/>
    <mergeCell ref="F33:I33"/>
    <mergeCell ref="F35:G35"/>
    <mergeCell ref="F37:I37"/>
    <mergeCell ref="E48:E49"/>
    <mergeCell ref="D48:D49"/>
    <mergeCell ref="C48:C49"/>
    <mergeCell ref="B48:B49"/>
    <mergeCell ref="F46:G46"/>
    <mergeCell ref="F47:G47"/>
    <mergeCell ref="B41:H41"/>
    <mergeCell ref="B42:B43"/>
    <mergeCell ref="C42:C43"/>
    <mergeCell ref="D42:D43"/>
    <mergeCell ref="E42:E43"/>
    <mergeCell ref="F48:G48"/>
    <mergeCell ref="F42:G42"/>
    <mergeCell ref="F43:I43"/>
    <mergeCell ref="F7:I7"/>
    <mergeCell ref="B3:I3"/>
    <mergeCell ref="B2:I2"/>
    <mergeCell ref="B1:I1"/>
    <mergeCell ref="B9:H9"/>
    <mergeCell ref="F11:G11"/>
    <mergeCell ref="F10:G10"/>
    <mergeCell ref="F15:G15"/>
    <mergeCell ref="F32:G32"/>
    <mergeCell ref="F12:I12"/>
    <mergeCell ref="F21:I21"/>
    <mergeCell ref="F13:G13"/>
    <mergeCell ref="F14:I14"/>
    <mergeCell ref="F17:G17"/>
    <mergeCell ref="F19:I19"/>
    <mergeCell ref="F18:I18"/>
    <mergeCell ref="F16:G16"/>
    <mergeCell ref="F20:G20"/>
    <mergeCell ref="F30:G30"/>
    <mergeCell ref="F31:G31"/>
    <mergeCell ref="F22:I22"/>
    <mergeCell ref="F27:G27"/>
    <mergeCell ref="F24:I24"/>
    <mergeCell ref="F25:I25"/>
    <mergeCell ref="C11:C12"/>
    <mergeCell ref="B11:B12"/>
    <mergeCell ref="D11:D12"/>
    <mergeCell ref="E11:E12"/>
    <mergeCell ref="C13:C14"/>
    <mergeCell ref="B13:B14"/>
    <mergeCell ref="D13:D14"/>
    <mergeCell ref="E13:E14"/>
    <mergeCell ref="D80:D81"/>
    <mergeCell ref="E80:E81"/>
    <mergeCell ref="F80:G80"/>
    <mergeCell ref="C80:C81"/>
    <mergeCell ref="B80:B81"/>
    <mergeCell ref="F44:G44"/>
    <mergeCell ref="C44:C45"/>
    <mergeCell ref="B44:B45"/>
    <mergeCell ref="D44:D45"/>
    <mergeCell ref="E44:E45"/>
    <mergeCell ref="F45:G45"/>
    <mergeCell ref="C52:C54"/>
    <mergeCell ref="B52:B54"/>
    <mergeCell ref="D52:D54"/>
    <mergeCell ref="E52:E54"/>
    <mergeCell ref="F54:I54"/>
    <mergeCell ref="B59:H59"/>
    <mergeCell ref="F55:I55"/>
    <mergeCell ref="F57:I57"/>
    <mergeCell ref="F58:I58"/>
    <mergeCell ref="F52:G52"/>
    <mergeCell ref="F56:G56"/>
    <mergeCell ref="H56:I56"/>
    <mergeCell ref="F49:I49"/>
    <mergeCell ref="E70:E72"/>
    <mergeCell ref="D70:D72"/>
    <mergeCell ref="C70:C72"/>
    <mergeCell ref="B70:B72"/>
    <mergeCell ref="B78:B79"/>
    <mergeCell ref="C78:C79"/>
    <mergeCell ref="D78:D79"/>
    <mergeCell ref="E78:E79"/>
    <mergeCell ref="E88:E90"/>
    <mergeCell ref="D88:D90"/>
    <mergeCell ref="C88:C90"/>
    <mergeCell ref="F103:I103"/>
    <mergeCell ref="F104:I104"/>
    <mergeCell ref="F105:G105"/>
    <mergeCell ref="F99:G99"/>
    <mergeCell ref="F100:G100"/>
    <mergeCell ref="F197:G197"/>
    <mergeCell ref="F181:G181"/>
    <mergeCell ref="F183:I183"/>
    <mergeCell ref="E173:E174"/>
    <mergeCell ref="C173:C174"/>
    <mergeCell ref="F122:G122"/>
    <mergeCell ref="F123:I123"/>
    <mergeCell ref="F124:I124"/>
    <mergeCell ref="F130:I130"/>
    <mergeCell ref="B131:H131"/>
    <mergeCell ref="F127:I127"/>
    <mergeCell ref="F142:G142"/>
    <mergeCell ref="F144:I144"/>
    <mergeCell ref="F168:G168"/>
    <mergeCell ref="F171:G171"/>
    <mergeCell ref="F172:I172"/>
    <mergeCell ref="B173:B174"/>
    <mergeCell ref="C171:C172"/>
    <mergeCell ref="B171:B172"/>
    <mergeCell ref="D171:D172"/>
    <mergeCell ref="D173:D174"/>
    <mergeCell ref="E171:E172"/>
    <mergeCell ref="F193:G193"/>
    <mergeCell ref="F194:I194"/>
    <mergeCell ref="B187:H187"/>
    <mergeCell ref="F178:G178"/>
    <mergeCell ref="F179:I179"/>
    <mergeCell ref="F180:I180"/>
    <mergeCell ref="F173:G173"/>
    <mergeCell ref="F174:I174"/>
    <mergeCell ref="F175:G175"/>
    <mergeCell ref="F176:G176"/>
    <mergeCell ref="F177:G177"/>
    <mergeCell ref="C176:C177"/>
    <mergeCell ref="D176:D177"/>
    <mergeCell ref="E176:E177"/>
    <mergeCell ref="F201:G201"/>
    <mergeCell ref="F203:I203"/>
    <mergeCell ref="F198:G198"/>
    <mergeCell ref="F191:G191"/>
    <mergeCell ref="F192:I192"/>
    <mergeCell ref="B189:B190"/>
    <mergeCell ref="C189:C190"/>
    <mergeCell ref="D189:D190"/>
    <mergeCell ref="E189:E190"/>
    <mergeCell ref="F189:G189"/>
    <mergeCell ref="F190:I190"/>
    <mergeCell ref="F188:G188"/>
    <mergeCell ref="C193:C194"/>
    <mergeCell ref="B193:B194"/>
    <mergeCell ref="B191:B192"/>
    <mergeCell ref="C191:C192"/>
    <mergeCell ref="D191:D192"/>
    <mergeCell ref="D193:D194"/>
    <mergeCell ref="E193:E194"/>
    <mergeCell ref="E191:E192"/>
    <mergeCell ref="D209:D210"/>
    <mergeCell ref="E209:E210"/>
    <mergeCell ref="F209:G209"/>
    <mergeCell ref="F210:I210"/>
    <mergeCell ref="F199:I199"/>
    <mergeCell ref="F205:I205"/>
    <mergeCell ref="F206:I206"/>
    <mergeCell ref="B207:H207"/>
    <mergeCell ref="F200:I200"/>
    <mergeCell ref="F202:I202"/>
    <mergeCell ref="B248:B249"/>
    <mergeCell ref="C248:C249"/>
    <mergeCell ref="D248:D249"/>
    <mergeCell ref="E248:E249"/>
    <mergeCell ref="F231:I231"/>
    <mergeCell ref="F221:I221"/>
    <mergeCell ref="F219:I219"/>
    <mergeCell ref="F237:I237"/>
    <mergeCell ref="F239:I239"/>
    <mergeCell ref="F242:I242"/>
    <mergeCell ref="F243:I243"/>
    <mergeCell ref="F238:G238"/>
    <mergeCell ref="F232:G232"/>
    <mergeCell ref="F233:G233"/>
    <mergeCell ref="F235:G235"/>
    <mergeCell ref="F213:G213"/>
    <mergeCell ref="B228:B229"/>
    <mergeCell ref="C228:C229"/>
    <mergeCell ref="F230:G230"/>
    <mergeCell ref="E230:E231"/>
    <mergeCell ref="D230:D231"/>
    <mergeCell ref="C230:C231"/>
    <mergeCell ref="B266:B267"/>
    <mergeCell ref="C266:C267"/>
    <mergeCell ref="D266:D267"/>
    <mergeCell ref="E266:E267"/>
    <mergeCell ref="B262:H262"/>
    <mergeCell ref="F263:G263"/>
    <mergeCell ref="B264:B265"/>
    <mergeCell ref="C264:C265"/>
    <mergeCell ref="D264:D265"/>
    <mergeCell ref="E264:E265"/>
    <mergeCell ref="F264:G264"/>
    <mergeCell ref="F265:I265"/>
    <mergeCell ref="F256:G256"/>
    <mergeCell ref="F257:I257"/>
    <mergeCell ref="F260:I260"/>
    <mergeCell ref="F600:I600"/>
    <mergeCell ref="F598:G598"/>
    <mergeCell ref="F599:I599"/>
    <mergeCell ref="F258:I258"/>
    <mergeCell ref="F259:I259"/>
    <mergeCell ref="F275:I275"/>
    <mergeCell ref="F292:I292"/>
    <mergeCell ref="F311:I311"/>
    <mergeCell ref="F304:G304"/>
    <mergeCell ref="C536:C537"/>
    <mergeCell ref="C574:C575"/>
    <mergeCell ref="D574:D575"/>
    <mergeCell ref="F286:G286"/>
    <mergeCell ref="F287:G287"/>
    <mergeCell ref="F288:I288"/>
    <mergeCell ref="F289:I289"/>
    <mergeCell ref="F282:I282"/>
    <mergeCell ref="F253:G253"/>
    <mergeCell ref="F254:I254"/>
    <mergeCell ref="F255:I255"/>
    <mergeCell ref="F266:G266"/>
    <mergeCell ref="F267:I267"/>
    <mergeCell ref="F252:G252"/>
    <mergeCell ref="F261:I261"/>
    <mergeCell ref="F272:I272"/>
    <mergeCell ref="F273:G273"/>
    <mergeCell ref="F274:I274"/>
    <mergeCell ref="F277:I277"/>
    <mergeCell ref="F278:I278"/>
    <mergeCell ref="F268:G268"/>
    <mergeCell ref="F269:G269"/>
    <mergeCell ref="E610:E611"/>
    <mergeCell ref="F610:G610"/>
    <mergeCell ref="F611:I611"/>
    <mergeCell ref="F445:G445"/>
    <mergeCell ref="F544:I544"/>
    <mergeCell ref="F561:I561"/>
    <mergeCell ref="F582:I582"/>
    <mergeCell ref="E574:E575"/>
    <mergeCell ref="F341:G341"/>
    <mergeCell ref="F351:G351"/>
    <mergeCell ref="F352:I352"/>
    <mergeCell ref="F355:I355"/>
    <mergeCell ref="F356:I356"/>
    <mergeCell ref="B357:H357"/>
    <mergeCell ref="F346:G346"/>
    <mergeCell ref="F347:G347"/>
    <mergeCell ref="F348:G348"/>
    <mergeCell ref="F349:I349"/>
    <mergeCell ref="F612:G612"/>
    <mergeCell ref="F613:G613"/>
    <mergeCell ref="F615:G615"/>
    <mergeCell ref="B604:H604"/>
    <mergeCell ref="F605:G605"/>
    <mergeCell ref="B606:B607"/>
    <mergeCell ref="C606:C607"/>
    <mergeCell ref="D606:D607"/>
    <mergeCell ref="E606:E607"/>
    <mergeCell ref="F606:G606"/>
    <mergeCell ref="F607:I607"/>
    <mergeCell ref="B608:B609"/>
    <mergeCell ref="C608:C609"/>
    <mergeCell ref="D608:D609"/>
    <mergeCell ref="E608:E609"/>
    <mergeCell ref="F608:G608"/>
    <mergeCell ref="F609:I609"/>
    <mergeCell ref="C610:C611"/>
    <mergeCell ref="D610:D611"/>
    <mergeCell ref="F614:G614"/>
    <mergeCell ref="F616:I616"/>
    <mergeCell ref="F617:I617"/>
    <mergeCell ref="F618:G618"/>
    <mergeCell ref="F619:I619"/>
    <mergeCell ref="F620:I620"/>
    <mergeCell ref="F622:I622"/>
    <mergeCell ref="F623:I623"/>
    <mergeCell ref="B624:H624"/>
    <mergeCell ref="F625:G625"/>
    <mergeCell ref="B626:B627"/>
    <mergeCell ref="C626:C627"/>
    <mergeCell ref="D626:D627"/>
    <mergeCell ref="E626:E627"/>
    <mergeCell ref="F626:G626"/>
    <mergeCell ref="F627:I627"/>
    <mergeCell ref="B628:B629"/>
    <mergeCell ref="C628:C629"/>
    <mergeCell ref="D628:D629"/>
    <mergeCell ref="E628:E629"/>
    <mergeCell ref="F628:G628"/>
    <mergeCell ref="F629:I629"/>
    <mergeCell ref="F657:I657"/>
    <mergeCell ref="E630:E631"/>
    <mergeCell ref="F630:G630"/>
    <mergeCell ref="F631:I631"/>
    <mergeCell ref="F632:G632"/>
    <mergeCell ref="F633:G633"/>
    <mergeCell ref="F634:G634"/>
    <mergeCell ref="F635:I635"/>
    <mergeCell ref="F636:I636"/>
    <mergeCell ref="F637:G637"/>
    <mergeCell ref="B647:B648"/>
    <mergeCell ref="C647:C648"/>
    <mergeCell ref="D647:D648"/>
    <mergeCell ref="E647:E648"/>
    <mergeCell ref="F647:G647"/>
    <mergeCell ref="F648:I648"/>
    <mergeCell ref="F638:I638"/>
    <mergeCell ref="F639:I639"/>
    <mergeCell ref="F641:I641"/>
    <mergeCell ref="F642:I642"/>
    <mergeCell ref="B643:H643"/>
    <mergeCell ref="F644:G644"/>
    <mergeCell ref="B645:B646"/>
    <mergeCell ref="C645:C646"/>
    <mergeCell ref="D645:D646"/>
    <mergeCell ref="E645:E646"/>
    <mergeCell ref="F645:G645"/>
    <mergeCell ref="F646:I646"/>
    <mergeCell ref="C630:C631"/>
    <mergeCell ref="D630:D631"/>
    <mergeCell ref="F640:I640"/>
    <mergeCell ref="B630:B631"/>
    <mergeCell ref="F671:I671"/>
    <mergeCell ref="F672:I672"/>
    <mergeCell ref="F673:G673"/>
    <mergeCell ref="F674:I674"/>
    <mergeCell ref="F675:I675"/>
    <mergeCell ref="F677:I677"/>
    <mergeCell ref="F678:I678"/>
    <mergeCell ref="F666:G666"/>
    <mergeCell ref="F667:I667"/>
    <mergeCell ref="C666:C667"/>
    <mergeCell ref="D666:D667"/>
    <mergeCell ref="E666:E667"/>
    <mergeCell ref="F676:I676"/>
    <mergeCell ref="B666:B667"/>
    <mergeCell ref="F649:G649"/>
    <mergeCell ref="F650:G650"/>
    <mergeCell ref="F651:G651"/>
    <mergeCell ref="F652:I652"/>
    <mergeCell ref="F653:I653"/>
    <mergeCell ref="F654:G654"/>
    <mergeCell ref="F655:I655"/>
    <mergeCell ref="F656:I656"/>
    <mergeCell ref="F658:I658"/>
    <mergeCell ref="F659:I659"/>
    <mergeCell ref="B660:H660"/>
    <mergeCell ref="F661:G661"/>
    <mergeCell ref="B662:B663"/>
    <mergeCell ref="C662:C663"/>
    <mergeCell ref="D662:D663"/>
    <mergeCell ref="E662:E663"/>
    <mergeCell ref="F662:G662"/>
    <mergeCell ref="F663:I663"/>
    <mergeCell ref="F668:G668"/>
    <mergeCell ref="B683:B684"/>
    <mergeCell ref="C683:C684"/>
    <mergeCell ref="D683:D684"/>
    <mergeCell ref="E683:E684"/>
    <mergeCell ref="F683:G683"/>
    <mergeCell ref="F684:I684"/>
    <mergeCell ref="F696:I696"/>
    <mergeCell ref="F698:I698"/>
    <mergeCell ref="F699:I699"/>
    <mergeCell ref="F685:G685"/>
    <mergeCell ref="F686:I686"/>
    <mergeCell ref="F690:G690"/>
    <mergeCell ref="F689:G689"/>
    <mergeCell ref="F687:G687"/>
    <mergeCell ref="F688:G688"/>
    <mergeCell ref="F691:G691"/>
    <mergeCell ref="F692:I692"/>
    <mergeCell ref="F693:I693"/>
    <mergeCell ref="F694:G694"/>
    <mergeCell ref="F695:I695"/>
    <mergeCell ref="C685:C686"/>
    <mergeCell ref="D685:D686"/>
    <mergeCell ref="E685:E686"/>
    <mergeCell ref="C688:C689"/>
    <mergeCell ref="F697:I697"/>
    <mergeCell ref="D688:D689"/>
    <mergeCell ref="E688:E689"/>
    <mergeCell ref="B685:B686"/>
    <mergeCell ref="B688:B689"/>
    <mergeCell ref="F669:G669"/>
    <mergeCell ref="F670:G670"/>
    <mergeCell ref="J3:L3"/>
    <mergeCell ref="B679:H679"/>
    <mergeCell ref="F680:G680"/>
    <mergeCell ref="B681:B682"/>
    <mergeCell ref="C681:C682"/>
    <mergeCell ref="D681:D682"/>
    <mergeCell ref="E681:E682"/>
    <mergeCell ref="F23:I23"/>
    <mergeCell ref="F38:I38"/>
    <mergeCell ref="F128:I128"/>
    <mergeCell ref="F145:I145"/>
    <mergeCell ref="F164:I164"/>
    <mergeCell ref="F184:I184"/>
    <mergeCell ref="F204:I204"/>
    <mergeCell ref="F276:I276"/>
    <mergeCell ref="F293:I293"/>
    <mergeCell ref="F312:I312"/>
    <mergeCell ref="F354:I354"/>
    <mergeCell ref="F371:I371"/>
    <mergeCell ref="F392:I392"/>
    <mergeCell ref="F432:I432"/>
    <mergeCell ref="F452:I452"/>
    <mergeCell ref="F470:I470"/>
    <mergeCell ref="F487:I487"/>
    <mergeCell ref="F681:G681"/>
    <mergeCell ref="F682:I682"/>
    <mergeCell ref="B664:B665"/>
    <mergeCell ref="C664:C665"/>
    <mergeCell ref="D664:D665"/>
    <mergeCell ref="E664:E665"/>
    <mergeCell ref="F664:G664"/>
    <mergeCell ref="F665:I665"/>
  </mergeCells>
  <pageMargins left="0.7" right="0.7" top="0.75" bottom="0.75" header="0.3" footer="0.3"/>
  <pageSetup paperSize="9" orientation="portrait" r:id="rId1"/>
  <ignoredErrors>
    <ignoredError sqref="E497 E517 E25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0"/>
  <sheetViews>
    <sheetView zoomScale="145" zoomScaleNormal="14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G25" sqref="G25"/>
    </sheetView>
  </sheetViews>
  <sheetFormatPr defaultRowHeight="15.75" x14ac:dyDescent="0.25"/>
  <cols>
    <col min="1" max="1" width="4.7109375" style="1" customWidth="1"/>
    <col min="2" max="2" width="4.42578125" style="2" customWidth="1"/>
    <col min="3" max="3" width="36.140625" style="1" customWidth="1"/>
    <col min="4" max="5" width="9.140625" style="2"/>
    <col min="6" max="6" width="10.42578125" style="2" customWidth="1"/>
    <col min="7" max="7" width="9.140625" style="2"/>
    <col min="8" max="8" width="9.140625" style="2" customWidth="1"/>
    <col min="9" max="16384" width="9.140625" style="1"/>
  </cols>
  <sheetData>
    <row r="2" spans="2:9" ht="22.5" customHeight="1" x14ac:dyDescent="0.25">
      <c r="B2" s="3" t="s">
        <v>23</v>
      </c>
      <c r="C2" s="3" t="s">
        <v>24</v>
      </c>
      <c r="D2" s="3" t="s">
        <v>25</v>
      </c>
      <c r="E2" s="3" t="s">
        <v>12</v>
      </c>
      <c r="F2" s="3" t="s">
        <v>13</v>
      </c>
      <c r="G2" s="3" t="s">
        <v>26</v>
      </c>
      <c r="H2" s="3" t="s">
        <v>14</v>
      </c>
    </row>
    <row r="3" spans="2:9" ht="27" customHeight="1" x14ac:dyDescent="0.25">
      <c r="B3" s="202" t="s">
        <v>30</v>
      </c>
      <c r="C3" s="203"/>
      <c r="D3" s="203"/>
      <c r="E3" s="203"/>
      <c r="F3" s="203"/>
      <c r="G3" s="203"/>
      <c r="H3" s="203"/>
    </row>
    <row r="4" spans="2:9" x14ac:dyDescent="0.25">
      <c r="B4" s="5">
        <v>1</v>
      </c>
      <c r="C4" s="8" t="s">
        <v>0</v>
      </c>
      <c r="D4" s="6" t="s">
        <v>9</v>
      </c>
      <c r="E4" s="6">
        <f>14.2</f>
        <v>14.2</v>
      </c>
      <c r="F4" s="6">
        <v>13.5</v>
      </c>
      <c r="G4" s="6">
        <f>2.41+3.19+2.3+3.19+2.41</f>
        <v>13.5</v>
      </c>
      <c r="H4" s="7">
        <f t="shared" ref="H4:H9" si="0">ROUND((G4*E4)/1000,3)</f>
        <v>0.192</v>
      </c>
    </row>
    <row r="5" spans="2:9" x14ac:dyDescent="0.25">
      <c r="B5" s="5">
        <v>2</v>
      </c>
      <c r="C5" s="8" t="s">
        <v>1</v>
      </c>
      <c r="D5" s="6" t="s">
        <v>10</v>
      </c>
      <c r="E5" s="9">
        <f>ROUND(0.68*0.888,2)</f>
        <v>0.6</v>
      </c>
      <c r="F5" s="6">
        <v>48</v>
      </c>
      <c r="G5" s="6">
        <f>ROUNDUP(((2.3-0.01-0.01)/0.2)+((2.41-0.01-0.01)/0.2),0)*2</f>
        <v>48</v>
      </c>
      <c r="H5" s="7">
        <f t="shared" si="0"/>
        <v>2.9000000000000001E-2</v>
      </c>
    </row>
    <row r="6" spans="2:9" x14ac:dyDescent="0.25">
      <c r="B6" s="5">
        <v>3</v>
      </c>
      <c r="C6" s="8" t="s">
        <v>2</v>
      </c>
      <c r="D6" s="6" t="s">
        <v>11</v>
      </c>
      <c r="E6" s="17">
        <v>2.96</v>
      </c>
      <c r="F6" s="6">
        <v>5.45</v>
      </c>
      <c r="G6" s="9">
        <f>ROUND((2.3-0.01-0.01)*(2.41-0.01-0.01),2)</f>
        <v>5.45</v>
      </c>
      <c r="H6" s="7">
        <f t="shared" si="0"/>
        <v>1.6E-2</v>
      </c>
      <c r="I6" s="1">
        <f>ROUND((11*1*0.154)+(11*1*0.154),2)</f>
        <v>3.39</v>
      </c>
    </row>
    <row r="7" spans="2:9" x14ac:dyDescent="0.25">
      <c r="B7" s="5">
        <v>4</v>
      </c>
      <c r="C7" s="8" t="s">
        <v>3</v>
      </c>
      <c r="D7" s="6" t="s">
        <v>9</v>
      </c>
      <c r="E7" s="6">
        <f>ROUND(1.578,2)</f>
        <v>1.58</v>
      </c>
      <c r="F7" s="6">
        <v>56.04</v>
      </c>
      <c r="G7" s="6">
        <f>ROUND((2.3-0.01-0.01)*12+(2.41-0.01-0.01)*12,2)</f>
        <v>56.04</v>
      </c>
      <c r="H7" s="7">
        <f t="shared" si="0"/>
        <v>8.8999999999999996E-2</v>
      </c>
    </row>
    <row r="8" spans="2:9" x14ac:dyDescent="0.25">
      <c r="B8" s="5">
        <v>5</v>
      </c>
      <c r="C8" s="8" t="s">
        <v>4</v>
      </c>
      <c r="D8" s="6" t="s">
        <v>10</v>
      </c>
      <c r="E8" s="6">
        <f>ROUND(0.19*0.07*0.01*7850,2)</f>
        <v>1.04</v>
      </c>
      <c r="F8" s="6">
        <v>6</v>
      </c>
      <c r="G8" s="6">
        <f>ROUND((2.41+3.19)/1,0)</f>
        <v>6</v>
      </c>
      <c r="H8" s="7">
        <f t="shared" si="0"/>
        <v>6.0000000000000001E-3</v>
      </c>
    </row>
    <row r="9" spans="2:9" x14ac:dyDescent="0.25">
      <c r="B9" s="5">
        <v>6</v>
      </c>
      <c r="C9" s="8" t="s">
        <v>5</v>
      </c>
      <c r="D9" s="6" t="s">
        <v>10</v>
      </c>
      <c r="E9" s="6">
        <f>ROUND(0.16*0.06*0.006*7850,2)</f>
        <v>0.45</v>
      </c>
      <c r="F9" s="6">
        <v>5</v>
      </c>
      <c r="G9" s="6">
        <f>1+1+1+1+1</f>
        <v>5</v>
      </c>
      <c r="H9" s="7">
        <f t="shared" si="0"/>
        <v>2E-3</v>
      </c>
    </row>
    <row r="10" spans="2:9" x14ac:dyDescent="0.25">
      <c r="B10" s="5">
        <v>7</v>
      </c>
      <c r="C10" s="8" t="s">
        <v>6</v>
      </c>
      <c r="D10" s="6" t="s">
        <v>10</v>
      </c>
      <c r="E10" s="6" t="s">
        <v>22</v>
      </c>
      <c r="F10" s="6">
        <v>5</v>
      </c>
      <c r="G10" s="6">
        <f>G9</f>
        <v>5</v>
      </c>
      <c r="H10" s="7"/>
    </row>
    <row r="11" spans="2:9" x14ac:dyDescent="0.25">
      <c r="B11" s="5">
        <v>8</v>
      </c>
      <c r="C11" s="8" t="s">
        <v>7</v>
      </c>
      <c r="D11" s="6" t="s">
        <v>10</v>
      </c>
      <c r="E11" s="6">
        <f>ROUND(0.55*0.617,2)</f>
        <v>0.34</v>
      </c>
      <c r="F11" s="6">
        <v>2</v>
      </c>
      <c r="G11" s="6">
        <v>2</v>
      </c>
      <c r="H11" s="7">
        <f>ROUND((G11*E11)/1000,3)</f>
        <v>1E-3</v>
      </c>
    </row>
    <row r="12" spans="2:9" ht="6" customHeight="1" x14ac:dyDescent="0.25">
      <c r="B12" s="197"/>
      <c r="C12" s="204"/>
      <c r="D12" s="204"/>
      <c r="E12" s="204"/>
      <c r="F12" s="204"/>
      <c r="G12" s="204"/>
      <c r="H12" s="205"/>
    </row>
    <row r="13" spans="2:9" x14ac:dyDescent="0.25">
      <c r="B13" s="10"/>
      <c r="C13" s="11" t="s">
        <v>8</v>
      </c>
      <c r="D13" s="12" t="s">
        <v>27</v>
      </c>
      <c r="E13" s="12"/>
      <c r="F13" s="12">
        <v>0.89</v>
      </c>
      <c r="G13" s="13">
        <f>2.41*2.3*0.16</f>
        <v>0.88688</v>
      </c>
      <c r="H13" s="14"/>
    </row>
    <row r="15" spans="2:9" ht="25.5" customHeight="1" x14ac:dyDescent="0.25">
      <c r="B15" s="202" t="s">
        <v>31</v>
      </c>
      <c r="C15" s="203"/>
      <c r="D15" s="203"/>
      <c r="E15" s="203"/>
      <c r="F15" s="203"/>
      <c r="G15" s="203"/>
      <c r="H15" s="203"/>
    </row>
    <row r="16" spans="2:9" x14ac:dyDescent="0.25">
      <c r="B16" s="5">
        <v>1</v>
      </c>
      <c r="C16" s="8" t="s">
        <v>0</v>
      </c>
      <c r="D16" s="6" t="s">
        <v>9</v>
      </c>
      <c r="E16" s="6">
        <f>14.2</f>
        <v>14.2</v>
      </c>
      <c r="F16" s="6">
        <v>25.6</v>
      </c>
      <c r="G16" s="6">
        <f>5.6+5.6+5.6+5.6+3.22</f>
        <v>25.619999999999997</v>
      </c>
      <c r="H16" s="32">
        <f>ROUND((G16*E16)/1000,3)</f>
        <v>0.36399999999999999</v>
      </c>
    </row>
    <row r="17" spans="2:8" x14ac:dyDescent="0.25">
      <c r="B17" s="5">
        <v>2</v>
      </c>
      <c r="C17" s="8" t="s">
        <v>1</v>
      </c>
      <c r="D17" s="6" t="s">
        <v>10</v>
      </c>
      <c r="E17" s="9">
        <f>ROUND(0.68*0.888,2)</f>
        <v>0.6</v>
      </c>
      <c r="F17" s="6">
        <v>66</v>
      </c>
      <c r="G17" s="6">
        <f>ROUNDUP(((3.22-0.01-0.01)/0.2)+((3.36-0.01-0.01)/0.2),0)*2</f>
        <v>66</v>
      </c>
      <c r="H17" s="32">
        <f t="shared" ref="H17:H21" si="1">ROUND((G17*E17)/1000,3)</f>
        <v>0.04</v>
      </c>
    </row>
    <row r="18" spans="2:8" x14ac:dyDescent="0.25">
      <c r="B18" s="5">
        <v>3</v>
      </c>
      <c r="C18" s="8" t="s">
        <v>2</v>
      </c>
      <c r="D18" s="6" t="s">
        <v>11</v>
      </c>
      <c r="E18" s="6">
        <v>2.96</v>
      </c>
      <c r="F18" s="6">
        <v>10.69</v>
      </c>
      <c r="G18" s="6">
        <f>ROUNDUP((3.22-0.01-0.01)*(3.36-0.01-0.01),2)</f>
        <v>10.69</v>
      </c>
      <c r="H18" s="32">
        <f t="shared" si="1"/>
        <v>3.2000000000000001E-2</v>
      </c>
    </row>
    <row r="19" spans="2:8" x14ac:dyDescent="0.25">
      <c r="B19" s="5">
        <v>4</v>
      </c>
      <c r="C19" s="8" t="s">
        <v>3</v>
      </c>
      <c r="D19" s="6" t="s">
        <v>9</v>
      </c>
      <c r="E19" s="6">
        <f>ROUND(1.578,2)</f>
        <v>1.58</v>
      </c>
      <c r="F19" s="6">
        <v>107.84</v>
      </c>
      <c r="G19" s="6">
        <f>ROUND(((3.22-0.01-0.01)*17)+((3.36-0.01-0.01)*16),2)</f>
        <v>107.84</v>
      </c>
      <c r="H19" s="32">
        <f t="shared" si="1"/>
        <v>0.17</v>
      </c>
    </row>
    <row r="20" spans="2:8" x14ac:dyDescent="0.25">
      <c r="B20" s="5">
        <v>5</v>
      </c>
      <c r="C20" s="8" t="s">
        <v>4</v>
      </c>
      <c r="D20" s="6" t="s">
        <v>10</v>
      </c>
      <c r="E20" s="6">
        <f>ROUND(0.19*0.07*0.01*7850,2)</f>
        <v>1.04</v>
      </c>
      <c r="F20" s="6">
        <v>12</v>
      </c>
      <c r="G20" s="15">
        <f>ROUND((3.8-0.2+2.2-0.2)/1,0)*2</f>
        <v>12</v>
      </c>
      <c r="H20" s="32">
        <f t="shared" si="1"/>
        <v>1.2E-2</v>
      </c>
    </row>
    <row r="21" spans="2:8" x14ac:dyDescent="0.25">
      <c r="B21" s="5">
        <v>6</v>
      </c>
      <c r="C21" s="8" t="s">
        <v>5</v>
      </c>
      <c r="D21" s="6" t="s">
        <v>10</v>
      </c>
      <c r="E21" s="6">
        <f>ROUND(0.16*0.06*0.006*7850,2)</f>
        <v>0.45</v>
      </c>
      <c r="F21" s="6">
        <v>8</v>
      </c>
      <c r="G21" s="6">
        <v>8</v>
      </c>
      <c r="H21" s="32">
        <f t="shared" si="1"/>
        <v>4.0000000000000001E-3</v>
      </c>
    </row>
    <row r="22" spans="2:8" x14ac:dyDescent="0.25">
      <c r="B22" s="5">
        <v>7</v>
      </c>
      <c r="C22" s="8" t="s">
        <v>6</v>
      </c>
      <c r="D22" s="6" t="s">
        <v>10</v>
      </c>
      <c r="E22" s="6" t="s">
        <v>22</v>
      </c>
      <c r="F22" s="6">
        <v>8</v>
      </c>
      <c r="G22" s="6">
        <f>G21</f>
        <v>8</v>
      </c>
      <c r="H22" s="16"/>
    </row>
    <row r="23" spans="2:8" ht="7.5" customHeight="1" x14ac:dyDescent="0.25">
      <c r="B23" s="197"/>
      <c r="C23" s="204"/>
      <c r="D23" s="204"/>
      <c r="E23" s="204"/>
      <c r="F23" s="204"/>
      <c r="G23" s="204"/>
      <c r="H23" s="205"/>
    </row>
    <row r="24" spans="2:8" x14ac:dyDescent="0.25">
      <c r="B24" s="10"/>
      <c r="C24" s="11" t="s">
        <v>8</v>
      </c>
      <c r="D24" s="12" t="s">
        <v>27</v>
      </c>
      <c r="E24" s="12"/>
      <c r="F24" s="12">
        <v>1.73</v>
      </c>
      <c r="G24" s="12">
        <f>ROUND(3.36*3.22*0.16,2)</f>
        <v>1.73</v>
      </c>
      <c r="H24" s="14"/>
    </row>
    <row r="26" spans="2:8" ht="27.75" customHeight="1" x14ac:dyDescent="0.25">
      <c r="B26" s="202" t="s">
        <v>32</v>
      </c>
      <c r="C26" s="203"/>
      <c r="D26" s="203"/>
      <c r="E26" s="203"/>
      <c r="F26" s="203"/>
      <c r="G26" s="203"/>
      <c r="H26" s="203"/>
    </row>
    <row r="27" spans="2:8" x14ac:dyDescent="0.25">
      <c r="B27" s="5">
        <v>1</v>
      </c>
      <c r="C27" s="8" t="s">
        <v>15</v>
      </c>
      <c r="D27" s="6" t="s">
        <v>10</v>
      </c>
      <c r="E27" s="6">
        <f>ROUND(8.33*0.62,2)</f>
        <v>5.16</v>
      </c>
      <c r="F27" s="6">
        <v>4</v>
      </c>
      <c r="G27" s="6">
        <v>4</v>
      </c>
      <c r="H27" s="7"/>
    </row>
    <row r="28" spans="2:8" x14ac:dyDescent="0.25">
      <c r="B28" s="5">
        <v>2</v>
      </c>
      <c r="C28" s="8" t="s">
        <v>16</v>
      </c>
      <c r="D28" s="6" t="s">
        <v>10</v>
      </c>
      <c r="E28" s="6">
        <f>ROUND(0.11*0.2*0.006*7850,2)</f>
        <v>1.04</v>
      </c>
      <c r="F28" s="6">
        <v>4</v>
      </c>
      <c r="G28" s="6">
        <f>G27</f>
        <v>4</v>
      </c>
      <c r="H28" s="7"/>
    </row>
    <row r="29" spans="2:8" x14ac:dyDescent="0.25">
      <c r="B29" s="5">
        <v>3</v>
      </c>
      <c r="C29" s="8" t="s">
        <v>6</v>
      </c>
      <c r="D29" s="6" t="s">
        <v>10</v>
      </c>
      <c r="E29" s="6" t="s">
        <v>22</v>
      </c>
      <c r="F29" s="6">
        <v>20</v>
      </c>
      <c r="G29" s="6">
        <f>(G27+G30)*2</f>
        <v>20</v>
      </c>
      <c r="H29" s="7"/>
    </row>
    <row r="30" spans="2:8" x14ac:dyDescent="0.25">
      <c r="B30" s="5">
        <v>4</v>
      </c>
      <c r="C30" s="8" t="s">
        <v>17</v>
      </c>
      <c r="D30" s="6" t="s">
        <v>10</v>
      </c>
      <c r="E30" s="9">
        <f>ROUND(8.33*0.84,2)</f>
        <v>7</v>
      </c>
      <c r="F30" s="6">
        <v>6</v>
      </c>
      <c r="G30" s="6">
        <v>6</v>
      </c>
      <c r="H30" s="7"/>
    </row>
    <row r="31" spans="2:8" x14ac:dyDescent="0.25">
      <c r="B31" s="5">
        <v>9</v>
      </c>
      <c r="C31" s="8" t="s">
        <v>18</v>
      </c>
      <c r="D31" s="6" t="s">
        <v>10</v>
      </c>
      <c r="E31" s="6">
        <f>ROUND(0.335*0.617,2)</f>
        <v>0.21</v>
      </c>
      <c r="F31" s="6">
        <v>4</v>
      </c>
      <c r="G31" s="6">
        <v>4</v>
      </c>
      <c r="H31" s="7"/>
    </row>
    <row r="32" spans="2:8" x14ac:dyDescent="0.25">
      <c r="B32" s="5" t="s">
        <v>28</v>
      </c>
      <c r="C32" s="8" t="s">
        <v>19</v>
      </c>
      <c r="D32" s="6" t="s">
        <v>10</v>
      </c>
      <c r="E32" s="9">
        <f>ROUND(0.16*2+0.1*3,2)</f>
        <v>0.62</v>
      </c>
      <c r="F32" s="6">
        <v>42</v>
      </c>
      <c r="G32" s="6"/>
      <c r="H32" s="7"/>
    </row>
    <row r="33" spans="2:8" x14ac:dyDescent="0.25">
      <c r="B33" s="5"/>
      <c r="C33" s="8" t="s">
        <v>2</v>
      </c>
      <c r="D33" s="6" t="s">
        <v>11</v>
      </c>
      <c r="E33" s="6"/>
      <c r="F33" s="6">
        <v>5.9</v>
      </c>
      <c r="G33" s="31"/>
      <c r="H33" s="7"/>
    </row>
    <row r="34" spans="2:8" x14ac:dyDescent="0.25">
      <c r="B34" s="5"/>
      <c r="C34" s="8" t="s">
        <v>20</v>
      </c>
      <c r="D34" s="6" t="s">
        <v>11</v>
      </c>
      <c r="E34" s="6"/>
      <c r="F34" s="6">
        <v>6.87</v>
      </c>
      <c r="G34" s="31">
        <f>22.9*0.3</f>
        <v>6.8699999999999992</v>
      </c>
      <c r="H34" s="7"/>
    </row>
    <row r="35" spans="2:8" ht="7.5" customHeight="1" x14ac:dyDescent="0.25">
      <c r="B35" s="5"/>
      <c r="C35" s="8"/>
      <c r="D35" s="6"/>
      <c r="E35" s="6"/>
      <c r="F35" s="6"/>
      <c r="G35" s="6"/>
      <c r="H35" s="7"/>
    </row>
    <row r="36" spans="2:8" x14ac:dyDescent="0.25">
      <c r="B36" s="10"/>
      <c r="C36" s="11" t="s">
        <v>21</v>
      </c>
      <c r="D36" s="12" t="s">
        <v>27</v>
      </c>
      <c r="E36" s="12"/>
      <c r="F36" s="13">
        <v>1.1000000000000001</v>
      </c>
      <c r="G36" s="13">
        <f>ROUND((6+0.2+6+6+4.5+0.2)*0.3*0.16,2)</f>
        <v>1.1000000000000001</v>
      </c>
      <c r="H36" s="14"/>
    </row>
    <row r="38" spans="2:8" ht="28.5" customHeight="1" x14ac:dyDescent="0.25">
      <c r="B38" s="202" t="s">
        <v>29</v>
      </c>
      <c r="C38" s="202"/>
      <c r="D38" s="202"/>
      <c r="E38" s="202"/>
      <c r="F38" s="202"/>
      <c r="G38" s="202"/>
      <c r="H38" s="202"/>
    </row>
    <row r="39" spans="2:8" x14ac:dyDescent="0.25">
      <c r="B39" s="5">
        <v>1</v>
      </c>
      <c r="C39" s="8" t="s">
        <v>15</v>
      </c>
      <c r="D39" s="6" t="s">
        <v>10</v>
      </c>
      <c r="E39" s="6">
        <f>ROUND(8.33*0.62,2)</f>
        <v>5.16</v>
      </c>
      <c r="F39" s="6">
        <v>4</v>
      </c>
      <c r="G39" s="6"/>
      <c r="H39" s="7"/>
    </row>
    <row r="40" spans="2:8" x14ac:dyDescent="0.25">
      <c r="B40" s="5">
        <v>2</v>
      </c>
      <c r="C40" s="8" t="s">
        <v>16</v>
      </c>
      <c r="D40" s="6" t="s">
        <v>10</v>
      </c>
      <c r="E40" s="6">
        <f>ROUND(0.11*0.2*0.006*7850,2)</f>
        <v>1.04</v>
      </c>
      <c r="F40" s="6">
        <v>4</v>
      </c>
      <c r="G40" s="6"/>
      <c r="H40" s="7"/>
    </row>
    <row r="41" spans="2:8" x14ac:dyDescent="0.25">
      <c r="B41" s="5">
        <v>3</v>
      </c>
      <c r="C41" s="8" t="s">
        <v>6</v>
      </c>
      <c r="D41" s="6" t="s">
        <v>10</v>
      </c>
      <c r="E41" s="6" t="s">
        <v>22</v>
      </c>
      <c r="F41" s="6">
        <v>16</v>
      </c>
      <c r="G41" s="6"/>
      <c r="H41" s="7"/>
    </row>
    <row r="42" spans="2:8" x14ac:dyDescent="0.25">
      <c r="B42" s="5">
        <v>4</v>
      </c>
      <c r="C42" s="8" t="s">
        <v>17</v>
      </c>
      <c r="D42" s="6" t="s">
        <v>10</v>
      </c>
      <c r="E42" s="9">
        <f>ROUND(8.33*0.84,2)</f>
        <v>7</v>
      </c>
      <c r="F42" s="6">
        <v>4</v>
      </c>
      <c r="G42" s="6"/>
      <c r="H42" s="7"/>
    </row>
    <row r="43" spans="2:8" x14ac:dyDescent="0.25">
      <c r="B43" s="5">
        <v>9</v>
      </c>
      <c r="C43" s="8" t="s">
        <v>18</v>
      </c>
      <c r="D43" s="6" t="s">
        <v>10</v>
      </c>
      <c r="E43" s="6">
        <f>ROUND(0.335*0.617,2)</f>
        <v>0.21</v>
      </c>
      <c r="F43" s="6">
        <v>4</v>
      </c>
      <c r="G43" s="6"/>
      <c r="H43" s="7"/>
    </row>
    <row r="44" spans="2:8" x14ac:dyDescent="0.25">
      <c r="B44" s="5" t="s">
        <v>28</v>
      </c>
      <c r="C44" s="8" t="s">
        <v>19</v>
      </c>
      <c r="D44" s="6" t="s">
        <v>10</v>
      </c>
      <c r="E44" s="6"/>
      <c r="F44" s="6">
        <v>34</v>
      </c>
      <c r="G44" s="6"/>
      <c r="H44" s="7"/>
    </row>
    <row r="45" spans="2:8" x14ac:dyDescent="0.25">
      <c r="B45" s="5"/>
      <c r="C45" s="8" t="s">
        <v>2</v>
      </c>
      <c r="D45" s="6" t="s">
        <v>11</v>
      </c>
      <c r="E45" s="6"/>
      <c r="F45" s="6">
        <v>4.7699999999999996</v>
      </c>
      <c r="G45" s="6"/>
      <c r="H45" s="7"/>
    </row>
    <row r="46" spans="2:8" x14ac:dyDescent="0.25">
      <c r="B46" s="5"/>
      <c r="C46" s="8" t="s">
        <v>20</v>
      </c>
      <c r="D46" s="6" t="s">
        <v>11</v>
      </c>
      <c r="E46" s="6"/>
      <c r="F46" s="6">
        <v>5.49</v>
      </c>
      <c r="G46" s="6"/>
      <c r="H46" s="7"/>
    </row>
    <row r="47" spans="2:8" ht="6" customHeight="1" x14ac:dyDescent="0.25">
      <c r="B47" s="5"/>
      <c r="C47" s="8"/>
      <c r="D47" s="6"/>
      <c r="E47" s="6"/>
      <c r="F47" s="6"/>
      <c r="G47" s="6"/>
      <c r="H47" s="7"/>
    </row>
    <row r="48" spans="2:8" x14ac:dyDescent="0.25">
      <c r="B48" s="10"/>
      <c r="C48" s="11" t="s">
        <v>21</v>
      </c>
      <c r="D48" s="12"/>
      <c r="E48" s="12"/>
      <c r="F48" s="13">
        <v>0.87</v>
      </c>
      <c r="G48" s="13">
        <f>ROUND(18.3*0.3*0.16,2)</f>
        <v>0.88</v>
      </c>
      <c r="H48" s="14"/>
    </row>
    <row r="50" spans="2:8" ht="30.75" customHeight="1" x14ac:dyDescent="0.25">
      <c r="B50" s="202" t="s">
        <v>33</v>
      </c>
      <c r="C50" s="202"/>
      <c r="D50" s="202"/>
      <c r="E50" s="202"/>
      <c r="F50" s="202"/>
      <c r="G50" s="202"/>
      <c r="H50" s="202"/>
    </row>
    <row r="51" spans="2:8" x14ac:dyDescent="0.25">
      <c r="B51" s="5">
        <v>1</v>
      </c>
      <c r="C51" s="8" t="s">
        <v>15</v>
      </c>
      <c r="D51" s="6" t="s">
        <v>10</v>
      </c>
      <c r="E51" s="6">
        <f>ROUND(8.33*0.62,2)</f>
        <v>5.16</v>
      </c>
      <c r="F51" s="6">
        <v>3</v>
      </c>
      <c r="G51" s="6"/>
      <c r="H51" s="7"/>
    </row>
    <row r="52" spans="2:8" x14ac:dyDescent="0.25">
      <c r="B52" s="5">
        <v>2</v>
      </c>
      <c r="C52" s="8" t="s">
        <v>16</v>
      </c>
      <c r="D52" s="6" t="s">
        <v>10</v>
      </c>
      <c r="E52" s="6">
        <f>ROUND(0.11*0.2*0.006*7850,2)</f>
        <v>1.04</v>
      </c>
      <c r="F52" s="6">
        <v>3</v>
      </c>
      <c r="G52" s="6"/>
      <c r="H52" s="7"/>
    </row>
    <row r="53" spans="2:8" x14ac:dyDescent="0.25">
      <c r="B53" s="5">
        <v>3</v>
      </c>
      <c r="C53" s="8" t="s">
        <v>6</v>
      </c>
      <c r="D53" s="6" t="s">
        <v>10</v>
      </c>
      <c r="E53" s="6" t="s">
        <v>22</v>
      </c>
      <c r="F53" s="6">
        <v>16</v>
      </c>
      <c r="G53" s="6"/>
      <c r="H53" s="7"/>
    </row>
    <row r="54" spans="2:8" x14ac:dyDescent="0.25">
      <c r="B54" s="5">
        <v>4</v>
      </c>
      <c r="C54" s="8" t="s">
        <v>17</v>
      </c>
      <c r="D54" s="6" t="s">
        <v>10</v>
      </c>
      <c r="E54" s="9">
        <f>ROUND(8.33*0.84,2)</f>
        <v>7</v>
      </c>
      <c r="F54" s="6">
        <v>6</v>
      </c>
      <c r="G54" s="6"/>
      <c r="H54" s="7"/>
    </row>
    <row r="55" spans="2:8" x14ac:dyDescent="0.25">
      <c r="B55" s="5">
        <v>9</v>
      </c>
      <c r="C55" s="8" t="s">
        <v>18</v>
      </c>
      <c r="D55" s="6" t="s">
        <v>10</v>
      </c>
      <c r="E55" s="6">
        <f>ROUND(0.335*0.617,2)</f>
        <v>0.21</v>
      </c>
      <c r="F55" s="6">
        <v>7</v>
      </c>
      <c r="G55" s="6"/>
      <c r="H55" s="7"/>
    </row>
    <row r="56" spans="2:8" x14ac:dyDescent="0.25">
      <c r="B56" s="5" t="s">
        <v>28</v>
      </c>
      <c r="C56" s="8" t="s">
        <v>19</v>
      </c>
      <c r="D56" s="6" t="s">
        <v>10</v>
      </c>
      <c r="E56" s="6"/>
      <c r="F56" s="6">
        <v>34</v>
      </c>
      <c r="G56" s="6"/>
      <c r="H56" s="7"/>
    </row>
    <row r="57" spans="2:8" x14ac:dyDescent="0.25">
      <c r="B57" s="5"/>
      <c r="C57" s="8" t="s">
        <v>2</v>
      </c>
      <c r="D57" s="6" t="s">
        <v>11</v>
      </c>
      <c r="E57" s="6"/>
      <c r="F57" s="6">
        <v>4.7699999999999996</v>
      </c>
      <c r="G57" s="6"/>
      <c r="H57" s="7"/>
    </row>
    <row r="58" spans="2:8" x14ac:dyDescent="0.25">
      <c r="B58" s="5"/>
      <c r="C58" s="8" t="s">
        <v>20</v>
      </c>
      <c r="D58" s="6" t="s">
        <v>11</v>
      </c>
      <c r="E58" s="6"/>
      <c r="F58" s="6">
        <v>5.49</v>
      </c>
      <c r="G58" s="6"/>
      <c r="H58" s="7"/>
    </row>
    <row r="59" spans="2:8" x14ac:dyDescent="0.25">
      <c r="B59" s="5"/>
      <c r="C59" s="8"/>
      <c r="D59" s="6"/>
      <c r="E59" s="6"/>
      <c r="F59" s="6"/>
      <c r="G59" s="6"/>
      <c r="H59" s="7"/>
    </row>
    <row r="60" spans="2:8" x14ac:dyDescent="0.25">
      <c r="B60" s="10"/>
      <c r="C60" s="11" t="s">
        <v>21</v>
      </c>
      <c r="D60" s="12"/>
      <c r="E60" s="12"/>
      <c r="F60" s="13">
        <v>0.72</v>
      </c>
      <c r="G60" s="13">
        <f>ROUND(18.3*0.3*0.16,2)</f>
        <v>0.88</v>
      </c>
      <c r="H60" s="14"/>
    </row>
  </sheetData>
  <mergeCells count="7">
    <mergeCell ref="B26:H26"/>
    <mergeCell ref="B38:H38"/>
    <mergeCell ref="B50:H50"/>
    <mergeCell ref="B3:H3"/>
    <mergeCell ref="B12:H12"/>
    <mergeCell ref="B15:H15"/>
    <mergeCell ref="B23:H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ВОР</vt:lpstr>
      <vt:lpstr>УМ1-УМ5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antiz</dc:creator>
  <cp:lastModifiedBy>Хамраева Наталья Александровна</cp:lastModifiedBy>
  <dcterms:created xsi:type="dcterms:W3CDTF">2015-06-05T18:19:34Z</dcterms:created>
  <dcterms:modified xsi:type="dcterms:W3CDTF">2026-02-12T10:31:10Z</dcterms:modified>
</cp:coreProperties>
</file>