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.kultaeva\Desktop\ШКОЛА г. Новокузнецк\_ТЗ_ТОРГИ\_Фасад\"/>
    </mc:Choice>
  </mc:AlternateContent>
  <xr:revisionPtr revIDLastSave="0" documentId="13_ncr:1_{B99A03C2-E351-439D-A771-B5B2001C983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Лист1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2" i="9" l="1"/>
  <c r="Q17" i="9"/>
  <c r="Q16" i="9"/>
  <c r="Z34" i="9"/>
  <c r="W33" i="9"/>
  <c r="W34" i="9"/>
  <c r="T33" i="9"/>
  <c r="T34" i="9"/>
  <c r="Q33" i="9"/>
  <c r="Q34" i="9"/>
  <c r="N33" i="9"/>
  <c r="N34" i="9"/>
  <c r="K33" i="9"/>
  <c r="K34" i="9"/>
  <c r="H33" i="9"/>
  <c r="H34" i="9"/>
  <c r="E33" i="9"/>
  <c r="E34" i="9"/>
  <c r="C34" i="9" l="1"/>
  <c r="C33" i="9"/>
  <c r="Z32" i="9"/>
  <c r="C32" i="9" s="1"/>
  <c r="Z31" i="9"/>
  <c r="C31" i="9" s="1"/>
  <c r="Z19" i="9"/>
  <c r="C19" i="9" s="1"/>
  <c r="Z26" i="9"/>
  <c r="Z25" i="9"/>
  <c r="C25" i="9" s="1"/>
  <c r="Z24" i="9"/>
  <c r="C24" i="9" s="1"/>
  <c r="Z23" i="9"/>
  <c r="Z22" i="9"/>
  <c r="Z10" i="9"/>
  <c r="C10" i="9" s="1"/>
  <c r="Z27" i="9"/>
  <c r="Z15" i="9"/>
  <c r="Z14" i="9"/>
  <c r="W30" i="9"/>
  <c r="C30" i="9" s="1"/>
  <c r="W29" i="9"/>
  <c r="C29" i="9" s="1"/>
  <c r="W27" i="9"/>
  <c r="W23" i="9"/>
  <c r="W22" i="9"/>
  <c r="W26" i="9"/>
  <c r="W17" i="9"/>
  <c r="W16" i="9"/>
  <c r="W9" i="9"/>
  <c r="W15" i="9"/>
  <c r="W14" i="9"/>
  <c r="W11" i="9"/>
  <c r="W18" i="9"/>
  <c r="T9" i="9"/>
  <c r="T11" i="9"/>
  <c r="Q11" i="9"/>
  <c r="N9" i="9"/>
  <c r="T23" i="9"/>
  <c r="T22" i="9"/>
  <c r="T17" i="9"/>
  <c r="T16" i="9"/>
  <c r="T26" i="9"/>
  <c r="T21" i="9"/>
  <c r="C21" i="9" s="1"/>
  <c r="T20" i="9"/>
  <c r="T27" i="9"/>
  <c r="T15" i="9"/>
  <c r="T14" i="9"/>
  <c r="T18" i="9"/>
  <c r="N13" i="9"/>
  <c r="N12" i="9"/>
  <c r="K13" i="9"/>
  <c r="K12" i="9"/>
  <c r="E13" i="9"/>
  <c r="E12" i="9"/>
  <c r="H13" i="9"/>
  <c r="H12" i="9"/>
  <c r="Q28" i="9"/>
  <c r="C28" i="9" s="1"/>
  <c r="Q27" i="9"/>
  <c r="Q15" i="9"/>
  <c r="Q14" i="9"/>
  <c r="Q9" i="9"/>
  <c r="Q18" i="9"/>
  <c r="C12" i="9" l="1"/>
  <c r="C13" i="9"/>
  <c r="K26" i="9"/>
  <c r="K23" i="9"/>
  <c r="K22" i="9"/>
  <c r="K18" i="9"/>
  <c r="K17" i="9"/>
  <c r="K16" i="9"/>
  <c r="K27" i="9"/>
  <c r="K20" i="9"/>
  <c r="K15" i="9"/>
  <c r="K14" i="9"/>
  <c r="K11" i="9"/>
  <c r="K9" i="9"/>
  <c r="N26" i="9"/>
  <c r="N27" i="9"/>
  <c r="N23" i="9"/>
  <c r="H22" i="9"/>
  <c r="N22" i="9"/>
  <c r="N20" i="9"/>
  <c r="H17" i="9"/>
  <c r="N17" i="9"/>
  <c r="N16" i="9"/>
  <c r="H16" i="9"/>
  <c r="N15" i="9"/>
  <c r="N14" i="9"/>
  <c r="N18" i="9"/>
  <c r="H27" i="9"/>
  <c r="H26" i="9"/>
  <c r="H23" i="9"/>
  <c r="H20" i="9"/>
  <c r="H11" i="9"/>
  <c r="H14" i="9" l="1"/>
  <c r="H15" i="9"/>
  <c r="H18" i="9"/>
  <c r="H9" i="9"/>
  <c r="E18" i="9" l="1"/>
  <c r="C18" i="9" s="1"/>
  <c r="E27" i="9"/>
  <c r="C27" i="9" s="1"/>
  <c r="E26" i="9"/>
  <c r="C26" i="9" s="1"/>
  <c r="E23" i="9"/>
  <c r="C23" i="9" s="1"/>
  <c r="E22" i="9"/>
  <c r="C22" i="9" s="1"/>
  <c r="E20" i="9"/>
  <c r="C20" i="9" s="1"/>
  <c r="E17" i="9"/>
  <c r="C17" i="9" s="1"/>
  <c r="E16" i="9"/>
  <c r="C16" i="9" s="1"/>
  <c r="E15" i="9"/>
  <c r="C15" i="9" s="1"/>
  <c r="E14" i="9"/>
  <c r="C14" i="9" s="1"/>
  <c r="E11" i="9"/>
  <c r="C11" i="9" s="1"/>
  <c r="E9" i="9"/>
  <c r="C9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Култаева Елена Юрьевна</author>
  </authors>
  <commentList>
    <comment ref="N15" authorId="0" shapeId="0" xr:uid="{FA15EE11-7F4B-45F6-8607-2427898049FB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Площадь по чертежам 8,551м*1,45м=12,40м2 Уточнить по объему у ПИ</t>
        </r>
      </text>
    </comment>
    <comment ref="B16" authorId="0" shapeId="0" xr:uid="{65475DF8-A8C0-45BC-8475-EFAD79AA36FE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Дать понимания, какое покрытие материала должно использоваться ЛАКОКРАСОЧНЫМ ИЛИ ПОЛИМЕРНЫМ ПОКРЫТИЕМ?</t>
        </r>
      </text>
    </comment>
    <comment ref="F16" authorId="0" shapeId="0" xr:uid="{60681950-18BE-41A0-9D38-60D3CCEF87F2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I16" authorId="0" shapeId="0" xr:uid="{BA77889B-3E88-4161-B884-51C60A54AABD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L16" authorId="0" shapeId="0" xr:uid="{51924683-8BB1-447E-B3B5-E09DF5169788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U16" authorId="0" shapeId="0" xr:uid="{2E314564-161F-4F53-B9B1-1FE241ABDEED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X16" authorId="0" shapeId="0" xr:uid="{3B5E13DE-AF3D-4402-AA82-305E344E7D01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F17" authorId="0" shapeId="0" xr:uid="{A932A017-58DC-439E-BE34-403F925A068F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I17" authorId="0" shapeId="0" xr:uid="{89BC5660-98FF-4D1C-9D49-B3898FE6E370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L17" authorId="0" shapeId="0" xr:uid="{702745F7-31C7-4848-B4F2-0395691C9139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U17" authorId="0" shapeId="0" xr:uid="{E9B5D084-3379-4E1B-B33E-728ED1F44024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X17" authorId="0" shapeId="0" xr:uid="{ECBE9D4B-8F47-4B6E-A703-EB7C60FAB1BB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F22" authorId="0" shapeId="0" xr:uid="{63EAFB0D-B141-4A09-B2AB-BAAD3AF2DFF2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I22" authorId="0" shapeId="0" xr:uid="{C690189E-EBE2-459B-BE55-AD1F8E38A158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L22" authorId="0" shapeId="0" xr:uid="{C5A21E71-2274-44EA-95BE-8ACD2263E6BE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U22" authorId="0" shapeId="0" xr:uid="{3B55BFEC-BD23-4066-9EE8-66B2FE0E97D3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X22" authorId="0" shapeId="0" xr:uid="{41E8A4D1-1E8C-4BC9-A004-693009878A4F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F23" authorId="0" shapeId="0" xr:uid="{4419C0FA-47B4-4199-8443-83A79528F08C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I23" authorId="0" shapeId="0" xr:uid="{DF1933F3-7965-4851-9607-6FF9D92615AD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L23" authorId="0" shapeId="0" xr:uid="{90005040-1D76-4620-A4CD-8CBC6EB639BB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U23" authorId="0" shapeId="0" xr:uid="{0D13F2A3-E767-43A8-9E31-800FF0B8BC77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X23" authorId="0" shapeId="0" xr:uid="{DFC827D7-D0DF-494C-ADAC-EEBFC9F94850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F26" authorId="0" shapeId="0" xr:uid="{C09F86DB-3FFA-45F6-B04B-BC8D66A16C50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  <comment ref="X26" authorId="0" shapeId="0" xr:uid="{CB6F8974-ACE7-4E3F-B29A-24D374F54285}">
      <text>
        <r>
          <rPr>
            <b/>
            <sz val="9"/>
            <color indexed="81"/>
            <rFont val="Tahoma"/>
            <family val="2"/>
            <charset val="204"/>
          </rPr>
          <t>Култаева Елена Юрьевна:</t>
        </r>
        <r>
          <rPr>
            <sz val="9"/>
            <color indexed="81"/>
            <rFont val="Tahoma"/>
            <family val="2"/>
            <charset val="204"/>
          </rPr>
          <t xml:space="preserve">
Уточнить ед.изм.</t>
        </r>
      </text>
    </comment>
  </commentList>
</comments>
</file>

<file path=xl/sharedStrings.xml><?xml version="1.0" encoding="utf-8"?>
<sst xmlns="http://schemas.openxmlformats.org/spreadsheetml/2006/main" count="190" uniqueCount="176">
  <si>
    <t>примечание</t>
  </si>
  <si>
    <t>Ведомость объемов работ</t>
  </si>
  <si>
    <r>
      <rPr>
        <b/>
        <sz val="12"/>
        <color theme="1"/>
        <rFont val="Times New Roman"/>
        <family val="1"/>
        <charset val="204"/>
      </rPr>
      <t>Объект:</t>
    </r>
    <r>
      <rPr>
        <sz val="12"/>
        <color theme="1"/>
        <rFont val="Times New Roman"/>
        <family val="2"/>
        <charset val="204"/>
      </rPr>
      <t xml:space="preserve"> Общеобразовательная школа в микрорайоне Дальнее Куйбышево г.Новокузнецк</t>
    </r>
  </si>
  <si>
    <t>Вид работ: Проектирование, поставка и монтаж навесной фасадной системы</t>
  </si>
  <si>
    <t>Блок А,
м2</t>
  </si>
  <si>
    <t>Площадь,
м2</t>
  </si>
  <si>
    <t>Материал отделки</t>
  </si>
  <si>
    <t>UP062-6,8м2;
UF011-472,0м2;
UF013-195,5м2;
UF078-413,7м2.</t>
  </si>
  <si>
    <t>Наружные стены спуска в подвал и вентшахты ВШ</t>
  </si>
  <si>
    <t>Козырки входных узлов</t>
  </si>
  <si>
    <r>
      <t>Облицовка плитами керамогранита (1200х600х11мм) с применением навесной фасадной системы "ВФ МП ФЦ НК КП" производства компании ООО "Металлпрофиль"</t>
    </r>
    <r>
      <rPr>
        <u/>
        <sz val="12"/>
        <rFont val="Times New Roman"/>
        <family val="1"/>
        <charset val="204"/>
      </rPr>
      <t xml:space="preserve"> с теплоизоляционным слоем, толщиной 150мм (плиты "Техновент ОПТИМА")</t>
    </r>
  </si>
  <si>
    <r>
      <t xml:space="preserve">Облицовка плитами керамогранита (1200х600х11мм) с применением навесной фасадной системы "ВФ МП ФЦ НК КП" производства компании ООО "Металлпрофиль" </t>
    </r>
    <r>
      <rPr>
        <u/>
        <sz val="12"/>
        <rFont val="Times New Roman"/>
        <family val="1"/>
        <charset val="204"/>
      </rPr>
      <t>без теплоизоляционного слоя</t>
    </r>
  </si>
  <si>
    <t>Откосы окон, витражей и дверей (устанавливаемых в наружных стенах), откосы для ниш под поливочные краны</t>
  </si>
  <si>
    <t>Отливы окон и витражей (устанавливаемых в наружных стенах)</t>
  </si>
  <si>
    <t>Подшивка низа козырька выхода на кровлю</t>
  </si>
  <si>
    <t>Облицовка метал. сайдингом L-брус 15х240 производства компании "Металлпрофиль", по металлическому каркасу</t>
  </si>
  <si>
    <t>RAL 1014-9,1м2.</t>
  </si>
  <si>
    <t>Отлив для отсечки цоколя</t>
  </si>
  <si>
    <t>Фасонный элемент, b=300 мм (оцинкованная сталь с ЛКП*, t=0,5 мм)</t>
  </si>
  <si>
    <t>Подшивка низа козырьков крылец</t>
  </si>
  <si>
    <t>Зашивка метал. сайдингом L-брус 15х240 производства компании "Металлпрофиль", по металлическому каркасу</t>
  </si>
  <si>
    <t>см. АР.1.А л.12 и л.16</t>
  </si>
  <si>
    <t>Блок Б,
м2</t>
  </si>
  <si>
    <t>РД 02.01.0093.23-ПД-АР.1.А л.36 изм.2 от 26.12.25</t>
  </si>
  <si>
    <t>РД 02.01.0093.23-ПД-АР.1.Б л.36 изм.2 от 25.11.25</t>
  </si>
  <si>
    <t>UP062-436,80м2;
UF011-568,90м2;
UF013-229,80м2.</t>
  </si>
  <si>
    <t>см. АР.1.Б л.13 и л.15</t>
  </si>
  <si>
    <t>Боковые стенки крылец и пандуса; стойки-колонны козырька крыльца</t>
  </si>
  <si>
    <r>
      <t xml:space="preserve">Облицовка плитами керамогранита (1200х600х11мм - основной; 1200х295х10мм - колонны) </t>
    </r>
    <r>
      <rPr>
        <u/>
        <sz val="12"/>
        <rFont val="Times New Roman"/>
        <family val="1"/>
        <charset val="204"/>
      </rPr>
      <t>на клею</t>
    </r>
    <r>
      <rPr>
        <sz val="12"/>
        <rFont val="Times New Roman"/>
        <family val="1"/>
        <charset val="204"/>
      </rPr>
      <t>. Использовать морозо-, влаго- устойчивый клей для наружных работ, типа RIVO50 А+В</t>
    </r>
  </si>
  <si>
    <t>Блок В,
м2</t>
  </si>
  <si>
    <t>Блок Г,
м2</t>
  </si>
  <si>
    <t>РД 02.01.0093.23-ПД-АР.1.Г л.38</t>
  </si>
  <si>
    <t>Фасонный элемент, b=350 мм (оцинкованная сталь с ЛКП*, t=0,5-0,7 мм)</t>
  </si>
  <si>
    <t>Фасонный элемент, b=220 мм (оцинкованная сталь с ЛКП*, t=0,5-0,7 мм)</t>
  </si>
  <si>
    <t>RAL 1014-209,81п.м.;
RAL 5002-46,15п.м.;
RAL 7043-135,94п.м.</t>
  </si>
  <si>
    <t>RAL 1014-211,35п.м.;
RAL 2000-62,88п.м.;
RAL 7043-145,97п.м.</t>
  </si>
  <si>
    <t>RAL 1014-62,59п.м.;
RAL 5002-25п.м.;
RAL 7043-39,60п.м.</t>
  </si>
  <si>
    <t>RAL 1014-58,98п.м.;
RAL 2000-29,58п.м.;
RAL 7043-42,50п.м.</t>
  </si>
  <si>
    <t>RAL 1014-50,15п.м.;
RAL 5002-47п.м.;
RAL 7043-19,50п.м.</t>
  </si>
  <si>
    <t>RAL 1014-58,98п.м.;
RAL 2000-52,2п.м.;
RAL 7043-6,85п.м.</t>
  </si>
  <si>
    <t>RAL 1014-21,66п.м.;
RAL 2000-29,18п.м.;
RAL 7043-п.м.</t>
  </si>
  <si>
    <t>RAL 5002-34,01п.м.;
RAL 7043-92,53п.м.</t>
  </si>
  <si>
    <t>RAL 2000-33,72п.м.;
RAL 7043-90,8п.м.</t>
  </si>
  <si>
    <t>RAL 1014-130,86п.м.;
RAL 2000-56,57п.м.;
RAL 7043-150п.м.</t>
  </si>
  <si>
    <t>RAL 1014-47,43п.м.;
RAL 2000-34,57п.м.;
RAL 7043-36,57п.м.</t>
  </si>
  <si>
    <t>RAL 1014-70п.м.;
RAL 2000-16,82п.м.;
RAL 7043-40п.м.;
RAL 5002-3,18п.м.</t>
  </si>
  <si>
    <t>RAL 1014-10п.м.;
RAL 7043-12,73п.м.</t>
  </si>
  <si>
    <t>РД 02.01.0093.23-ПД-АР.1.В л.31 изм.1 от 10.2025</t>
  </si>
  <si>
    <t>UP062-418м2;
UF011-349,2м2;
UF013-219,2м2.</t>
  </si>
  <si>
    <t>UF013-28,7м2;
Спуск в подвал №1 и вентшахта ВШ1а.</t>
  </si>
  <si>
    <t>UF013-27м2;
Спуск в подвал №3 и вентшахта ВШ1б.</t>
  </si>
  <si>
    <t>UF013-35,4м2;
Спуск в подвал №4 и вентшахта ВШ1в.</t>
  </si>
  <si>
    <t>UF013-60,04м2;
Крыльцо К1; К14.</t>
  </si>
  <si>
    <t>UF013-28,1м2;
Крыльцо К13.</t>
  </si>
  <si>
    <t>UF013-25,6м2;
Крыльцо К11.</t>
  </si>
  <si>
    <t>UF013-29,15м2;
Крыльцо К12</t>
  </si>
  <si>
    <t>UF011-36,29м2;
Крыльцо К1; К14.</t>
  </si>
  <si>
    <t>UF011-12,8м2;
Крыльцо К13.</t>
  </si>
  <si>
    <t>UF011-31,15м2;
Крыльцо К12</t>
  </si>
  <si>
    <t>UF011-13м2;
Крыльцо К11.</t>
  </si>
  <si>
    <t>RAL 9003-112,94м2;
Крыльцо К1; К14.</t>
  </si>
  <si>
    <t>RAL 9010-13,72м2;
Крыльцо К13.</t>
  </si>
  <si>
    <t>RAL 9010-12,85м2;
Крыльцо К12</t>
  </si>
  <si>
    <t>RAL 9003-14,1м2;
Крыльцо К11.</t>
  </si>
  <si>
    <t>RAL 1014-121,1п.м.;
RAL 5002-36,8п.м.;
RAL 7043-103,3п.м.</t>
  </si>
  <si>
    <t>RAL 1014-39,8п.м.;
RAL 5002-17,7п.м.;
RAL 7043-16,8п.м.</t>
  </si>
  <si>
    <t>см. АР.1.В л.9</t>
  </si>
  <si>
    <t>RAL 1014-73,1п.м.;
RAL 5002-47п.м.;
RAL 7043-32,9п.м.</t>
  </si>
  <si>
    <r>
      <t xml:space="preserve">Доп. материал: Лента герметизирующая, шумогачящая, ширина 200мм "Робибанд ПБ на изолоне", </t>
    </r>
    <r>
      <rPr>
        <b/>
        <i/>
        <sz val="12"/>
        <rFont val="Times New Roman"/>
        <family val="1"/>
        <charset val="204"/>
      </rPr>
      <t>ед.изм. п.м.</t>
    </r>
  </si>
  <si>
    <t>RAL 1014-44,55п.м.;
RAL 5002-43,64п.м.;
RAL 7043-37,27п.м.</t>
  </si>
  <si>
    <t>RAL 1014-14,9п.м.;
RAL 5002-16,9п.м.;
RAL 7043-17,6п.м.</t>
  </si>
  <si>
    <t>RAL 5002-34п.м.;
RAL 7043-67,2п.м.</t>
  </si>
  <si>
    <t>Блок Д,
м2</t>
  </si>
  <si>
    <t>Блок Е,
м2</t>
  </si>
  <si>
    <t>РД 02.01.0093.23-ПД-АР.1.Д л.52 изм.2 от 26.12.25</t>
  </si>
  <si>
    <t>см. АР.1.В л.14</t>
  </si>
  <si>
    <t>см. АР.1.Д л.13 и л.17</t>
  </si>
  <si>
    <t>UF013-40,86м2;
Крыльцо К3, К2, К15</t>
  </si>
  <si>
    <t>UF011-14,81м2;
UF078-14,81м2
Крыльцо К2, К15</t>
  </si>
  <si>
    <t>RAL 9010-24,9м2;
Крыльцо К2 и К15</t>
  </si>
  <si>
    <t>Отделка низа козырков выходов на кровлю, низа козырька главного входа</t>
  </si>
  <si>
    <r>
      <t>Зашивка метал. сайдингом L-брус 15х240 производства компании "Металлпрофиль", по металлическому каркасу</t>
    </r>
    <r>
      <rPr>
        <u/>
        <sz val="12"/>
        <rFont val="Times New Roman"/>
        <family val="1"/>
        <charset val="204"/>
      </rPr>
      <t xml:space="preserve"> с теплоизоляционными слоем, толщиной 150мм, 250мм (плиты "Техновент ОПТИМА")</t>
    </r>
  </si>
  <si>
    <t>RAL 9010-98,60м2;
RAL 1014-18,55м2
Крыльцо К3</t>
  </si>
  <si>
    <t>Грунтовка, шпаклевка, грунтовка, окраска в 2слоя Oasis Hall@Office</t>
  </si>
  <si>
    <t>Продолжение наружных стен в спуске в подвал (стена со стороны подвала)</t>
  </si>
  <si>
    <t>Облицовка стекломагниевыми листами (НГ) кл. А толщ. 8мм в один слой по металлокаркасу (тип С 625) производства кампании ООО "Металлпрофиль" с теплоизоляционными слоем, толщиной 150мм (плиты "Техновент ОПТИМА"), грунтовка, окраска в 2слоя Oasis Hall@Office</t>
  </si>
  <si>
    <t>Продолжение внутреняя поверхность стени спуска в подвал (ж/б стена)</t>
  </si>
  <si>
    <t>RAL 5002-16,27м2;
см. АР.1.Б л.18</t>
  </si>
  <si>
    <t>RAL 5002-26,05м2;
см. АР.1.Б л.18</t>
  </si>
  <si>
    <t>RAL ????-16,86м2;
см. АР.1.А л.18</t>
  </si>
  <si>
    <t>RAL ????-28,31м2;
см. АР.1.А л.18</t>
  </si>
  <si>
    <t>UP062-16,3м2;
см. АР.1.В л.13</t>
  </si>
  <si>
    <t>UP062-25,4м2;
см. АР.1.В л.13</t>
  </si>
  <si>
    <t>RAL 2000-17,65м2;
см. АР.1.Б л.19</t>
  </si>
  <si>
    <t>RAL 2000-27,5м2;
см. АР.1.Б л.19</t>
  </si>
  <si>
    <t>Блок К,
м2</t>
  </si>
  <si>
    <t>Блок И,
м2</t>
  </si>
  <si>
    <t>РД 02.01.0093.23-ПД-АР.1.Е л.42 изм.1 от 05.11.25</t>
  </si>
  <si>
    <t>см. АР.1.Е л.14 и л.15</t>
  </si>
  <si>
    <t>UF013-67,79м2;
Крыльцо К8, К9, К10</t>
  </si>
  <si>
    <t>UF011-28,89м2;
UF013-9,40м2
Крыльцо К8, К9, К10</t>
  </si>
  <si>
    <t>RAL 9010-35,26м2;
Крыльцо К8, К9, К10</t>
  </si>
  <si>
    <t>RAL 7043-9,8м2.</t>
  </si>
  <si>
    <r>
      <t xml:space="preserve">Облицовка метал. сайдингом L-брус 15х240 производства компании "Металлпрофиль", по металлическому каркасу </t>
    </r>
    <r>
      <rPr>
        <u/>
        <sz val="12"/>
        <rFont val="Times New Roman"/>
        <family val="1"/>
        <charset val="204"/>
      </rPr>
      <t>без утеплителя</t>
    </r>
  </si>
  <si>
    <t>Подшивка низа арки проезда</t>
  </si>
  <si>
    <t>RAL 7043-81,82м2.</t>
  </si>
  <si>
    <t>RAL 2000-10,95п.м.;
RAL 7043-82,4п.м.</t>
  </si>
  <si>
    <t>RAL 1014-162,9п.м.;
RAL 7043-48,9п.м.</t>
  </si>
  <si>
    <t>RAL 1014-49,5п.м.;
RAL 7043-14,5п.м.</t>
  </si>
  <si>
    <t>RAL 1014-45,4п.м.;
RAL 5002-4,4п.м.;
RAL 7043-0,88п.м;
RAL 2000-24,1п.м.</t>
  </si>
  <si>
    <t>RAL 1014-4,0п.м.;
RAL 2000-0,4п.м.</t>
  </si>
  <si>
    <t>РД 02.01.0093.23-ПД-АР.1.К л.27 изм.1 от 10.2025</t>
  </si>
  <si>
    <t>UF078-439,44м2;
UF011-565,57м2;
UF013-265,44м2.
Спуск в подвал №2 и вентшахта ВШ1г.</t>
  </si>
  <si>
    <t>UF078-417,84м2;
UF011-388,60м2;
UP062-31,71м2;
UF013-324,52м2.
Спуск в подвал №5</t>
  </si>
  <si>
    <t>UF013-34,65м2;
Вентшахта ВШ1д и ВШ2д.</t>
  </si>
  <si>
    <t>UF013-41,83м2.
Спуск в подвал №7, №8.</t>
  </si>
  <si>
    <t>UF078-194,35м2;
UF011-658м2;
UP062-24,75м2;
UF013-362,33м2.
Вентшахта ВШ1е и ВШ2е.</t>
  </si>
  <si>
    <t>см. АР.1.К л.13 и л.15</t>
  </si>
  <si>
    <t xml:space="preserve">Наружные стены (основной объём здания); наружные стены выхода на кровлю из лестничной клетки; наружные стены здания под навесом крыльца; продолжение поверхности стены спуска в подвал и вентшахты ВШ; колонны главного входа - блок Д; наружные стены атриума - блок Е; колонны арки - блок Е. </t>
  </si>
  <si>
    <t>UF013-27,1м2.
Спуск в подвал №6.</t>
  </si>
  <si>
    <t>UF013-49,4м2.
Крыльцо К4, К5.</t>
  </si>
  <si>
    <t>UF078-12,5м2;
UP062-15,0м2
Крыльцо К4, К5.</t>
  </si>
  <si>
    <t>UF011-186м2;
UP062-215м2;
UF013-106м2.
Вентшахта ВШ1к</t>
  </si>
  <si>
    <t>RAL 1014-75п.м.;
RAL 5002-34,3п.м.;
RAL 7043-65,43п.м.</t>
  </si>
  <si>
    <t>RAL 1014-27,7п.м.;
RAL 5002-16,57п.м.;
RAL 7043-2,8п.м.</t>
  </si>
  <si>
    <t>RAL 2000-35п.м.;
RAL 7043-58,33п.м.</t>
  </si>
  <si>
    <t>RAL 5002-29,7п.м.;
RAL 7043-4,7п.м.;
RAL 1014-18,33п.м.</t>
  </si>
  <si>
    <t>RAL 1014-5,91п.м.;
RAL 5002-15,45п.м.;
RAL 7043-32,27п.м.</t>
  </si>
  <si>
    <t>RAL 5002-11,36п.м.;
RAL 7043-5п.м.</t>
  </si>
  <si>
    <t>RAL 9003-48,8м2;
Крыльцо К4, К5.</t>
  </si>
  <si>
    <t>Навес №1 на кровле - блок К (ограждающие стены)</t>
  </si>
  <si>
    <t>Трехслойная сэндвич-панель тол. 100мм</t>
  </si>
  <si>
    <t>Навес №1 на кровле - блок К (кровельные панели)</t>
  </si>
  <si>
    <t>Трехслойная сэндвич-панель тол. 80мм</t>
  </si>
  <si>
    <t>RAL 1014-36,4м2
см. АР.1.К л.23</t>
  </si>
  <si>
    <t>RAL 1014-14м2
см. АР.1.К л.23</t>
  </si>
  <si>
    <t>UF013-61,04м2.
Крыльцо К6, К7.</t>
  </si>
  <si>
    <t>UP062-34,3м2
Крыльцо К6, К7.</t>
  </si>
  <si>
    <t>RAL 9010-31,5м2;
Крыльцо К6, К7.</t>
  </si>
  <si>
    <t>Наружные стены (основной объём здания); цоколь (линия цоколя принята от отм. +0,000); наружные стены здания под навесом крыльца</t>
  </si>
  <si>
    <t>Облицовка плитами керамогранита (1200х600х10мм) согласно альбому технических решений компании ООО "Металлпрофиль" "Сэндвич-панели поэлементной сборки" 2018г. (лист 83-89)</t>
  </si>
  <si>
    <t>UF078-502,55м2;
UP062-278м2;
UF013-235,01м2.</t>
  </si>
  <si>
    <r>
      <t xml:space="preserve">Доп. материал: Лента герметизирующая, шумогачящая, ширина 150мм "Робибанд ПБ на изолоне", </t>
    </r>
    <r>
      <rPr>
        <b/>
        <i/>
        <sz val="12"/>
        <rFont val="Times New Roman"/>
        <family val="1"/>
        <charset val="204"/>
      </rPr>
      <t>ед.изм. п.м.</t>
    </r>
  </si>
  <si>
    <t>RAL 2000-126,91п.м.;
RAL 5002-41,45п.м.;
RAL 7043-62,76п.м.</t>
  </si>
  <si>
    <t>Откосы окон, дверных и витражей</t>
  </si>
  <si>
    <t>Отливы окон и витражей</t>
  </si>
  <si>
    <t>RAL 2000-32,45п.м.;
RAL 5002-3,6п.м.;
RAL 7043-23,10п.м.</t>
  </si>
  <si>
    <t>Откосы оконных проемов</t>
  </si>
  <si>
    <t>Фасонный элемент, b=280 мм (оцинкованная сталь с полимерным покрытием, t=0,5-0,7 мм)</t>
  </si>
  <si>
    <t>RAL 2000-10,60п.м.;
RAL 7043-3,61п.м.</t>
  </si>
  <si>
    <t>Отлив оконных проемов</t>
  </si>
  <si>
    <t>RAL 2000-7п.м.</t>
  </si>
  <si>
    <t>RAL 7043-79,20п.м.</t>
  </si>
  <si>
    <t>см. АР.1.И л.8 и л.13</t>
  </si>
  <si>
    <t>308,76 м3</t>
  </si>
  <si>
    <t>Заполнение фасадных сэндвич-панелей - блок И</t>
  </si>
  <si>
    <t>Заполнение внутренних сэндвич-панелей - блок И</t>
  </si>
  <si>
    <t>80,06 м3</t>
  </si>
  <si>
    <r>
      <rPr>
        <b/>
        <u/>
        <sz val="12"/>
        <color rgb="FF000000"/>
        <rFont val="Times New Roman"/>
        <family val="1"/>
        <charset val="204"/>
      </rPr>
      <t>ПРИМЕЧАНИЕ:</t>
    </r>
    <r>
      <rPr>
        <sz val="12"/>
        <color rgb="FF000000"/>
        <rFont val="Times New Roman"/>
        <family val="1"/>
        <charset val="204"/>
      </rPr>
      <t xml:space="preserve">
1) Наружная отделка здания школы - вентилируемый фасад с негорючим теплоизоляционным слоем и наружной облицовкой из керамогранитных плит 1200х600мм. Теплоизоляция ТЕХНОВЕНТ ОПТИМА (толщина слоя 150 мм) предназначена для применения без ветрозащитной пленки. Крепление керамогранитный плит предусматривается с применением </t>
    </r>
    <r>
      <rPr>
        <b/>
        <sz val="12"/>
        <color rgb="FF000000"/>
        <rFont val="Times New Roman"/>
        <family val="1"/>
        <charset val="204"/>
      </rPr>
      <t>навесной фасадной системы "ВФ МП ФЦ НК КП" ООО "Металлпрофиль",</t>
    </r>
    <r>
      <rPr>
        <sz val="12"/>
        <color rgb="FF000000"/>
        <rFont val="Times New Roman"/>
        <family val="1"/>
        <charset val="204"/>
      </rPr>
      <t xml:space="preserve"> прошедшей испытания на применение в сейсмических районах (Техническое свидетельство №5701-19 от 06 марта 2019г.);
</t>
    </r>
    <r>
      <rPr>
        <sz val="12"/>
        <rFont val="Times New Roman"/>
        <family val="1"/>
        <charset val="204"/>
      </rPr>
      <t>2) Класс пожарной опасности системы - К0;
3) Разработка рабочих чертежей на устройство фасадной системы и её монтаж должны выполняться только специализированными организациями - членами СРО, имеющими допуск на производство соответствующих работ;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4) Перед заказом материалов облицовки проверить соответствие колеров с согласованным Архитектурным решением внешнего вида фасадов здания школы. Цветовое решение фасадов см. паспорт внешней отделки фасадов;</t>
    </r>
    <r>
      <rPr>
        <sz val="12"/>
        <color rgb="FFFF0000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5) Для снижения уровня внешнего шума в режиме "проветривание" окна и витражи в помещениях с присутствием детей следует укомплектовать звукогасящими подкладками под отливы. В качестве звукогасящих подкладок использовать ленту гермитизирующую, шумогасящую "Робибанд ПБ на изолоне". Ленту приклеить к нижней (скрытой) поверхности отлива;</t>
    </r>
    <r>
      <rPr>
        <sz val="12"/>
        <color rgb="FFFF0000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8) Учесть объемы работ и материалов откосов для отделки дверей спуска в подвал, выхода на кровлю (из оцинкованной стали b=350мм, t=0,5-0,7мм);</t>
    </r>
    <r>
      <rPr>
        <sz val="12"/>
        <color rgb="FFFF0000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 xml:space="preserve">9) </t>
    </r>
    <r>
      <rPr>
        <b/>
        <sz val="12"/>
        <color rgb="FF000000"/>
        <rFont val="Times New Roman"/>
        <family val="1"/>
        <charset val="204"/>
      </rPr>
      <t>Учесть объемы работ и материалы фартук деформационного шва на фасаде - блок И;</t>
    </r>
    <r>
      <rPr>
        <sz val="12"/>
        <color rgb="FF000000"/>
        <rFont val="Times New Roman"/>
        <family val="1"/>
        <charset val="204"/>
      </rPr>
      <t xml:space="preserve">
10) Крепление фасадных горизонтальных сэндвич-панелей и внутренних стеновых сэндвич-панелей осущствлять на металлический каркас стенового ограждения см.альбом 02.01.0093.23-ПД-КМ.1.8.И</t>
    </r>
  </si>
  <si>
    <t>Оцинкованная сталь с полимерным покрытием</t>
  </si>
  <si>
    <r>
      <t xml:space="preserve">Парапетная планка (основная кровля, крыльца, лестничные марши), </t>
    </r>
    <r>
      <rPr>
        <b/>
        <sz val="12"/>
        <rFont val="Times New Roman"/>
        <family val="1"/>
        <charset val="204"/>
      </rPr>
      <t>ед.изм. п.м.</t>
    </r>
  </si>
  <si>
    <t>Облицовка вентиляционных шахт</t>
  </si>
  <si>
    <t>Теплоизоляция ТЕХНОВЕНТ Оптима - 150мм, лист хризотилцементный плоский ЛПП, облицовка оцинкованной сталью с полимерным покрытием</t>
  </si>
  <si>
    <t>ВШ-1 … ВШ-10.</t>
  </si>
  <si>
    <t>ВШ-1 … ВШ-9</t>
  </si>
  <si>
    <t>ВШ-1 … ВШ-10</t>
  </si>
  <si>
    <t>ВШ-2 … ВШ-12</t>
  </si>
  <si>
    <t>ВШ7д … ВШ17д, ВШ-6</t>
  </si>
  <si>
    <t>ВШ-1 … ВШ-5, ВШ-7</t>
  </si>
  <si>
    <t>ВШ-1 … ВШ-11</t>
  </si>
  <si>
    <t>RAL 1014-51,82п.м.;
RAL 2000-38,4п.м.;
RAL 7043-69,74п.м.</t>
  </si>
  <si>
    <t>RAL 1014-115,88п.м.;
RAL 2000-55,9п.м.;
RAL 5002-48,85п.м.;
RAL 7043-109,09п.м.</t>
  </si>
  <si>
    <t>RAL 2000-98,90п.м.;
RAL 1014-62,10п.м.;
RAL 7043-41,75п.м.</t>
  </si>
  <si>
    <t>Наружная стеновая панель из негорючей плиты из каменной ваты ТехноНиколь "ТЕХНОВЕНТ ОПТИМА" (γ=81-99кг/м3), толщ. 200мм</t>
  </si>
  <si>
    <t>Внутренняя стеновая панель из негорючей плиты из каменной ваты ТехноНиколь "ТЕХНОАКУСТИК" (γ=37-45кг/м3), толщ. 100мм, облицовка листами СМЛ (НГ) в 2 слоя (облицовка крепиться к вертикальным направляющим, закрепленным к сэндвич-профилям)</t>
  </si>
  <si>
    <t>Наименование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</si>
</sst>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71">
    <xf numFmtId="0" fontId="0" fillId="0" borderId="0" xfId="0"/>
    <xf numFmtId="0" fontId="0" fillId="0" borderId="0" xfId="0" applyFill="1"/>
    <xf numFmtId="0" fontId="5" fillId="0" borderId="1" xfId="1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5" fillId="0" borderId="0" xfId="0" applyFont="1"/>
    <xf numFmtId="0" fontId="0" fillId="0" borderId="0" xfId="0" applyFont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14" fontId="0" fillId="3" borderId="0" xfId="0" applyNumberFormat="1" applyFont="1" applyFill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0" xfId="1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0" xfId="0" applyFill="1"/>
    <xf numFmtId="0" fontId="0" fillId="3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  <xf numFmtId="0" fontId="0" fillId="3" borderId="0" xfId="0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2" fontId="0" fillId="3" borderId="0" xfId="0" applyNumberFormat="1" applyFill="1" applyBorder="1" applyAlignment="1">
      <alignment horizontal="center" vertical="center" wrapText="1"/>
    </xf>
    <xf numFmtId="164" fontId="0" fillId="3" borderId="0" xfId="0" applyNumberForma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2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left" vertical="center" wrapText="1"/>
    </xf>
    <xf numFmtId="0" fontId="15" fillId="3" borderId="0" xfId="1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 wrapText="1"/>
    </xf>
    <xf numFmtId="2" fontId="16" fillId="3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Border="1"/>
    <xf numFmtId="0" fontId="7" fillId="0" borderId="1" xfId="1" applyNumberFormat="1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5" fillId="3" borderId="0" xfId="0" applyFont="1" applyFill="1"/>
    <xf numFmtId="0" fontId="16" fillId="3" borderId="0" xfId="0" applyFont="1" applyFill="1"/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8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left" vertical="center" wrapText="1"/>
    </xf>
    <xf numFmtId="14" fontId="10" fillId="0" borderId="0" xfId="0" applyNumberFormat="1" applyFont="1" applyAlignment="1">
      <alignment horizontal="center" vertical="center"/>
    </xf>
  </cellXfs>
  <cellStyles count="3">
    <cellStyle name="20% — акцент6" xfId="1" builtinId="50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A837-797B-4CD0-AA40-25E38398B1F0}">
  <sheetPr>
    <pageSetUpPr fitToPage="1"/>
  </sheetPr>
  <dimension ref="A1:AK38"/>
  <sheetViews>
    <sheetView tabSelected="1" zoomScale="80" zoomScaleNormal="80" workbookViewId="0">
      <pane xSplit="3" ySplit="7" topLeftCell="D23" activePane="bottomRight" state="frozen"/>
      <selection pane="topRight" activeCell="F1" sqref="F1"/>
      <selection pane="bottomLeft" activeCell="A4" sqref="A4"/>
      <selection pane="bottomRight" activeCell="AE5" sqref="AE5"/>
    </sheetView>
  </sheetViews>
  <sheetFormatPr defaultRowHeight="15.75" x14ac:dyDescent="0.25"/>
  <cols>
    <col min="1" max="1" width="61.25" customWidth="1"/>
    <col min="2" max="2" width="59.5" customWidth="1"/>
    <col min="3" max="3" width="12.625" customWidth="1"/>
    <col min="4" max="4" width="0.625" style="22" customWidth="1"/>
    <col min="5" max="5" width="13.375" style="35" customWidth="1"/>
    <col min="6" max="6" width="18.875" style="36" customWidth="1"/>
    <col min="7" max="7" width="0.625" style="26" customWidth="1"/>
    <col min="8" max="8" width="13.375" style="35" customWidth="1"/>
    <col min="9" max="9" width="18.875" style="35" customWidth="1"/>
    <col min="10" max="10" width="0.625" style="42" customWidth="1"/>
    <col min="11" max="11" width="13.375" style="35" customWidth="1"/>
    <col min="12" max="12" width="18.875" style="35" customWidth="1"/>
    <col min="13" max="13" width="0.625" style="42" customWidth="1"/>
    <col min="14" max="14" width="13.375" style="35" customWidth="1"/>
    <col min="15" max="15" width="18.875" style="35" customWidth="1"/>
    <col min="16" max="16" width="0.625" style="42" customWidth="1"/>
    <col min="17" max="17" width="13.375" style="35" customWidth="1"/>
    <col min="18" max="18" width="20.75" style="35" customWidth="1"/>
    <col min="19" max="19" width="0.75" style="42" customWidth="1"/>
    <col min="20" max="20" width="13.375" style="35" customWidth="1"/>
    <col min="21" max="21" width="18.875" style="35" customWidth="1"/>
    <col min="22" max="22" width="0.625" style="42" customWidth="1"/>
    <col min="23" max="23" width="13.375" style="35" customWidth="1"/>
    <col min="24" max="24" width="18.875" style="35" customWidth="1"/>
    <col min="25" max="25" width="0.75" style="42" customWidth="1"/>
    <col min="26" max="26" width="13.375" style="35" customWidth="1"/>
    <col min="27" max="27" width="20.5" style="35" customWidth="1"/>
    <col min="28" max="28" width="0.625" style="22" customWidth="1"/>
  </cols>
  <sheetData>
    <row r="1" spans="1:37" ht="26.25" customHeight="1" x14ac:dyDescent="0.25">
      <c r="A1" s="68" t="s">
        <v>1</v>
      </c>
      <c r="B1" s="68"/>
      <c r="C1" s="68"/>
      <c r="D1" s="10"/>
    </row>
    <row r="2" spans="1:37" x14ac:dyDescent="0.25">
      <c r="A2" s="9"/>
      <c r="B2" s="9"/>
      <c r="C2" s="9"/>
      <c r="D2" s="11"/>
    </row>
    <row r="3" spans="1:37" ht="20.25" customHeight="1" x14ac:dyDescent="0.25">
      <c r="A3" s="70" t="s">
        <v>2</v>
      </c>
      <c r="B3" s="70"/>
      <c r="C3" s="70"/>
      <c r="D3" s="12"/>
    </row>
    <row r="4" spans="1:37" x14ac:dyDescent="0.25">
      <c r="A4" s="9"/>
      <c r="B4" s="9"/>
      <c r="C4" s="9"/>
      <c r="D4" s="11"/>
    </row>
    <row r="5" spans="1:37" ht="36.75" customHeight="1" x14ac:dyDescent="0.25">
      <c r="A5" s="69" t="s">
        <v>3</v>
      </c>
      <c r="B5" s="69"/>
      <c r="C5" s="69"/>
      <c r="D5" s="12"/>
    </row>
    <row r="6" spans="1:37" x14ac:dyDescent="0.25">
      <c r="A6" s="63"/>
      <c r="B6" s="63"/>
      <c r="C6" s="63"/>
      <c r="D6" s="13"/>
    </row>
    <row r="7" spans="1:37" ht="50.25" customHeight="1" x14ac:dyDescent="0.25">
      <c r="A7" s="24" t="s">
        <v>175</v>
      </c>
      <c r="B7" s="24" t="s">
        <v>6</v>
      </c>
      <c r="C7" s="65" t="s">
        <v>5</v>
      </c>
      <c r="D7" s="14"/>
      <c r="E7" s="5" t="s">
        <v>4</v>
      </c>
      <c r="F7" s="5" t="s">
        <v>0</v>
      </c>
      <c r="G7" s="23"/>
      <c r="H7" s="5" t="s">
        <v>22</v>
      </c>
      <c r="I7" s="5" t="s">
        <v>0</v>
      </c>
      <c r="J7" s="23"/>
      <c r="K7" s="5" t="s">
        <v>29</v>
      </c>
      <c r="L7" s="5" t="s">
        <v>0</v>
      </c>
      <c r="M7" s="23"/>
      <c r="N7" s="5" t="s">
        <v>30</v>
      </c>
      <c r="O7" s="5" t="s">
        <v>0</v>
      </c>
      <c r="P7" s="23"/>
      <c r="Q7" s="5" t="s">
        <v>72</v>
      </c>
      <c r="R7" s="5" t="s">
        <v>0</v>
      </c>
      <c r="S7" s="23"/>
      <c r="T7" s="5" t="s">
        <v>73</v>
      </c>
      <c r="U7" s="5" t="s">
        <v>0</v>
      </c>
      <c r="V7" s="23"/>
      <c r="W7" s="5" t="s">
        <v>95</v>
      </c>
      <c r="X7" s="5" t="s">
        <v>0</v>
      </c>
      <c r="Y7" s="23"/>
      <c r="Z7" s="5" t="s">
        <v>96</v>
      </c>
      <c r="AA7" s="5" t="s">
        <v>0</v>
      </c>
    </row>
    <row r="8" spans="1:37" ht="36.75" customHeight="1" x14ac:dyDescent="0.25">
      <c r="A8" s="24">
        <v>1</v>
      </c>
      <c r="B8" s="24">
        <v>2</v>
      </c>
      <c r="C8" s="65">
        <v>3</v>
      </c>
      <c r="D8" s="14"/>
      <c r="E8" s="64" t="s">
        <v>23</v>
      </c>
      <c r="F8" s="64"/>
      <c r="G8" s="23"/>
      <c r="H8" s="64" t="s">
        <v>24</v>
      </c>
      <c r="I8" s="64"/>
      <c r="J8" s="23"/>
      <c r="K8" s="64" t="s">
        <v>47</v>
      </c>
      <c r="L8" s="64"/>
      <c r="M8" s="23"/>
      <c r="N8" s="64" t="s">
        <v>31</v>
      </c>
      <c r="O8" s="64"/>
      <c r="P8" s="23"/>
      <c r="Q8" s="64" t="s">
        <v>74</v>
      </c>
      <c r="R8" s="64"/>
      <c r="S8" s="23"/>
      <c r="T8" s="64" t="s">
        <v>97</v>
      </c>
      <c r="U8" s="64"/>
      <c r="V8" s="23"/>
      <c r="W8" s="64" t="s">
        <v>111</v>
      </c>
      <c r="X8" s="64"/>
      <c r="Y8" s="23"/>
      <c r="Z8" s="5"/>
      <c r="AA8" s="5"/>
    </row>
    <row r="9" spans="1:37" s="8" customFormat="1" ht="101.25" customHeight="1" x14ac:dyDescent="0.25">
      <c r="A9" s="2" t="s">
        <v>118</v>
      </c>
      <c r="B9" s="2" t="s">
        <v>10</v>
      </c>
      <c r="C9" s="66">
        <f>E9+H9+K9+N9+Q9+T9+W9+Z9</f>
        <v>7481.9600000000009</v>
      </c>
      <c r="D9" s="15"/>
      <c r="E9" s="34">
        <f>6.8+472+195.5+413.7</f>
        <v>1088</v>
      </c>
      <c r="F9" s="32" t="s">
        <v>7</v>
      </c>
      <c r="G9" s="30"/>
      <c r="H9" s="31">
        <f>568.9+436.8+229.8</f>
        <v>1235.5</v>
      </c>
      <c r="I9" s="32" t="s">
        <v>25</v>
      </c>
      <c r="J9" s="43"/>
      <c r="K9" s="31">
        <f>418+349.2+219.2</f>
        <v>986.40000000000009</v>
      </c>
      <c r="L9" s="32" t="s">
        <v>48</v>
      </c>
      <c r="M9" s="43"/>
      <c r="N9" s="31">
        <f>565.57+439.44+238.13+27.31</f>
        <v>1270.4499999999998</v>
      </c>
      <c r="O9" s="32" t="s">
        <v>112</v>
      </c>
      <c r="P9" s="43"/>
      <c r="Q9" s="31">
        <f>388.6+417.84+31.71+317.03</f>
        <v>1155.18</v>
      </c>
      <c r="R9" s="32" t="s">
        <v>113</v>
      </c>
      <c r="S9" s="43"/>
      <c r="T9" s="31">
        <f>619+24.75+334.43+194.35+27.9+39</f>
        <v>1239.43</v>
      </c>
      <c r="U9" s="32" t="s">
        <v>116</v>
      </c>
      <c r="V9" s="43"/>
      <c r="W9" s="31">
        <f>215+186+106</f>
        <v>507</v>
      </c>
      <c r="X9" s="32" t="s">
        <v>122</v>
      </c>
      <c r="Y9" s="43"/>
      <c r="Z9" s="31"/>
      <c r="AA9" s="31"/>
      <c r="AB9" s="59"/>
      <c r="AF9" s="33"/>
      <c r="AG9" s="33"/>
      <c r="AH9" s="33"/>
      <c r="AI9" s="33"/>
      <c r="AJ9" s="33"/>
      <c r="AK9" s="33"/>
    </row>
    <row r="10" spans="1:37" s="8" customFormat="1" ht="101.25" customHeight="1" x14ac:dyDescent="0.25">
      <c r="A10" s="2" t="s">
        <v>139</v>
      </c>
      <c r="B10" s="2" t="s">
        <v>140</v>
      </c>
      <c r="C10" s="66">
        <f>E10+H10+K10+N10+Q10+T10+W10+Z10</f>
        <v>1015.56</v>
      </c>
      <c r="D10" s="16"/>
      <c r="E10" s="34"/>
      <c r="F10" s="32"/>
      <c r="G10" s="30"/>
      <c r="H10" s="31"/>
      <c r="I10" s="32"/>
      <c r="J10" s="43"/>
      <c r="K10" s="31"/>
      <c r="L10" s="32"/>
      <c r="M10" s="43"/>
      <c r="N10" s="31"/>
      <c r="O10" s="32"/>
      <c r="P10" s="43"/>
      <c r="Q10" s="31"/>
      <c r="R10" s="32"/>
      <c r="S10" s="43"/>
      <c r="T10" s="31"/>
      <c r="U10" s="32"/>
      <c r="V10" s="43"/>
      <c r="W10" s="31"/>
      <c r="X10" s="32"/>
      <c r="Y10" s="43"/>
      <c r="Z10" s="31">
        <f>502.55+278+235.01</f>
        <v>1015.56</v>
      </c>
      <c r="AA10" s="32" t="s">
        <v>141</v>
      </c>
      <c r="AB10" s="59"/>
      <c r="AF10" s="33"/>
      <c r="AG10" s="33"/>
      <c r="AH10" s="33"/>
      <c r="AI10" s="33"/>
      <c r="AJ10" s="33"/>
      <c r="AK10" s="33"/>
    </row>
    <row r="11" spans="1:37" s="1" customFormat="1" ht="83.25" customHeight="1" x14ac:dyDescent="0.25">
      <c r="A11" s="2" t="s">
        <v>8</v>
      </c>
      <c r="B11" s="2" t="s">
        <v>11</v>
      </c>
      <c r="C11" s="66">
        <f>E11+H11+K11+N11+Q11+T11+W11+Z11</f>
        <v>194.67999999999998</v>
      </c>
      <c r="D11" s="16"/>
      <c r="E11" s="35">
        <f>28.7</f>
        <v>28.7</v>
      </c>
      <c r="F11" s="36" t="s">
        <v>49</v>
      </c>
      <c r="G11" s="26"/>
      <c r="H11" s="35">
        <f>27</f>
        <v>27</v>
      </c>
      <c r="I11" s="36" t="s">
        <v>50</v>
      </c>
      <c r="J11" s="42"/>
      <c r="K11" s="35">
        <f>35.4</f>
        <v>35.4</v>
      </c>
      <c r="L11" s="36" t="s">
        <v>51</v>
      </c>
      <c r="M11" s="42"/>
      <c r="N11" s="35"/>
      <c r="O11" s="36"/>
      <c r="P11" s="42"/>
      <c r="Q11" s="35">
        <f>34.65</f>
        <v>34.65</v>
      </c>
      <c r="R11" s="36" t="s">
        <v>114</v>
      </c>
      <c r="S11" s="42"/>
      <c r="T11" s="35">
        <f>20.5+21.33</f>
        <v>41.83</v>
      </c>
      <c r="U11" s="36" t="s">
        <v>115</v>
      </c>
      <c r="V11" s="42"/>
      <c r="W11" s="35">
        <f>27.1</f>
        <v>27.1</v>
      </c>
      <c r="X11" s="36" t="s">
        <v>119</v>
      </c>
      <c r="Y11" s="42"/>
      <c r="Z11" s="35"/>
      <c r="AA11" s="35"/>
      <c r="AB11" s="22"/>
      <c r="AF11" s="6"/>
      <c r="AG11" s="6"/>
      <c r="AH11" s="6"/>
      <c r="AI11" s="6"/>
      <c r="AJ11" s="6"/>
      <c r="AK11" s="6"/>
    </row>
    <row r="12" spans="1:37" s="1" customFormat="1" ht="87" customHeight="1" x14ac:dyDescent="0.25">
      <c r="A12" s="58" t="s">
        <v>84</v>
      </c>
      <c r="B12" s="2" t="s">
        <v>85</v>
      </c>
      <c r="C12" s="66">
        <f>E12+H12+K12+N12+Q12+T12+W12+Z12</f>
        <v>67.079999999999984</v>
      </c>
      <c r="D12" s="16"/>
      <c r="E12" s="35">
        <f>16.86</f>
        <v>16.86</v>
      </c>
      <c r="F12" s="56" t="s">
        <v>89</v>
      </c>
      <c r="G12" s="26"/>
      <c r="H12" s="35">
        <f>16.27</f>
        <v>16.27</v>
      </c>
      <c r="I12" s="55" t="s">
        <v>87</v>
      </c>
      <c r="J12" s="42"/>
      <c r="K12" s="35">
        <f>16.3</f>
        <v>16.3</v>
      </c>
      <c r="L12" s="57" t="s">
        <v>91</v>
      </c>
      <c r="M12" s="42"/>
      <c r="N12" s="35">
        <f>17.65</f>
        <v>17.649999999999999</v>
      </c>
      <c r="O12" s="55" t="s">
        <v>93</v>
      </c>
      <c r="P12" s="42"/>
      <c r="Q12" s="35"/>
      <c r="R12" s="36"/>
      <c r="S12" s="42"/>
      <c r="T12" s="35"/>
      <c r="U12" s="35"/>
      <c r="V12" s="42"/>
      <c r="W12" s="35"/>
      <c r="X12" s="35"/>
      <c r="Y12" s="42"/>
      <c r="Z12" s="35"/>
      <c r="AA12" s="35"/>
      <c r="AB12" s="22"/>
      <c r="AF12" s="6"/>
      <c r="AG12" s="6"/>
      <c r="AH12" s="6"/>
      <c r="AI12" s="6"/>
      <c r="AJ12" s="6"/>
      <c r="AK12" s="6"/>
    </row>
    <row r="13" spans="1:37" s="1" customFormat="1" ht="36" customHeight="1" x14ac:dyDescent="0.25">
      <c r="A13" s="58" t="s">
        <v>86</v>
      </c>
      <c r="B13" s="2" t="s">
        <v>83</v>
      </c>
      <c r="C13" s="66">
        <f>E13+H13+K13+N13+Q13+T13+W13+Z13</f>
        <v>107.25999999999999</v>
      </c>
      <c r="D13" s="16"/>
      <c r="E13" s="35">
        <f>28.31</f>
        <v>28.31</v>
      </c>
      <c r="F13" s="56" t="s">
        <v>90</v>
      </c>
      <c r="G13" s="26"/>
      <c r="H13" s="35">
        <f>26.05</f>
        <v>26.05</v>
      </c>
      <c r="I13" s="55" t="s">
        <v>88</v>
      </c>
      <c r="J13" s="42"/>
      <c r="K13" s="35">
        <f>25.4</f>
        <v>25.4</v>
      </c>
      <c r="L13" s="57" t="s">
        <v>92</v>
      </c>
      <c r="M13" s="42"/>
      <c r="N13" s="35">
        <f>27.5</f>
        <v>27.5</v>
      </c>
      <c r="O13" s="55" t="s">
        <v>94</v>
      </c>
      <c r="P13" s="42"/>
      <c r="Q13" s="35"/>
      <c r="R13" s="36"/>
      <c r="S13" s="42"/>
      <c r="T13" s="35"/>
      <c r="U13" s="35"/>
      <c r="V13" s="42"/>
      <c r="W13" s="35"/>
      <c r="X13" s="35"/>
      <c r="Y13" s="42"/>
      <c r="Z13" s="35"/>
      <c r="AA13" s="35"/>
      <c r="AB13" s="22"/>
      <c r="AF13" s="6"/>
      <c r="AG13" s="6"/>
      <c r="AH13" s="6"/>
      <c r="AI13" s="6"/>
      <c r="AJ13" s="6"/>
      <c r="AK13" s="6"/>
    </row>
    <row r="14" spans="1:37" s="1" customFormat="1" ht="87" customHeight="1" x14ac:dyDescent="0.25">
      <c r="A14" s="2" t="s">
        <v>27</v>
      </c>
      <c r="B14" s="2" t="s">
        <v>28</v>
      </c>
      <c r="C14" s="66">
        <f>E14+H14+K14+N14+Q14+T14+W14+Z14</f>
        <v>361.98</v>
      </c>
      <c r="D14" s="16"/>
      <c r="E14" s="35">
        <f>5.27+7.65+27.5+19.62</f>
        <v>60.040000000000006</v>
      </c>
      <c r="F14" s="36" t="s">
        <v>52</v>
      </c>
      <c r="G14" s="26"/>
      <c r="H14" s="35">
        <f>28.1</f>
        <v>28.1</v>
      </c>
      <c r="I14" s="36" t="s">
        <v>53</v>
      </c>
      <c r="J14" s="42"/>
      <c r="K14" s="35">
        <f>5.4+20.2</f>
        <v>25.6</v>
      </c>
      <c r="L14" s="36" t="s">
        <v>54</v>
      </c>
      <c r="M14" s="42"/>
      <c r="N14" s="35">
        <f>29.15</f>
        <v>29.15</v>
      </c>
      <c r="O14" s="36" t="s">
        <v>55</v>
      </c>
      <c r="P14" s="42"/>
      <c r="Q14" s="35">
        <f>7.2+4.46+4.46+12.46+12.28</f>
        <v>40.86</v>
      </c>
      <c r="R14" s="36" t="s">
        <v>77</v>
      </c>
      <c r="S14" s="42"/>
      <c r="T14" s="35">
        <f>5.2+2.3+5.82+11.87+14.2+14.2+14.2</f>
        <v>67.790000000000006</v>
      </c>
      <c r="U14" s="36" t="s">
        <v>99</v>
      </c>
      <c r="V14" s="42"/>
      <c r="W14" s="35">
        <f>7.8+6.4+14.1+21.1</f>
        <v>49.4</v>
      </c>
      <c r="X14" s="36" t="s">
        <v>120</v>
      </c>
      <c r="Y14" s="42"/>
      <c r="Z14" s="35">
        <f>6.7+2.7+4.9+3.3+43.44</f>
        <v>61.04</v>
      </c>
      <c r="AA14" s="36" t="s">
        <v>136</v>
      </c>
      <c r="AB14" s="22"/>
      <c r="AF14" s="6"/>
      <c r="AG14" s="6"/>
      <c r="AH14" s="6"/>
      <c r="AI14" s="6"/>
      <c r="AJ14" s="6"/>
      <c r="AK14" s="6"/>
    </row>
    <row r="15" spans="1:37" ht="92.25" customHeight="1" x14ac:dyDescent="0.25">
      <c r="A15" s="2" t="s">
        <v>9</v>
      </c>
      <c r="B15" s="2" t="s">
        <v>11</v>
      </c>
      <c r="C15" s="66">
        <f>E15+H15+K15+N15+Q15+T15+W15+Z15</f>
        <v>222.95</v>
      </c>
      <c r="D15" s="15"/>
      <c r="E15" s="35">
        <f>23.01+13.28</f>
        <v>36.29</v>
      </c>
      <c r="F15" s="36" t="s">
        <v>56</v>
      </c>
      <c r="H15" s="35">
        <f>12.8</f>
        <v>12.8</v>
      </c>
      <c r="I15" s="36" t="s">
        <v>57</v>
      </c>
      <c r="K15" s="35">
        <f>13</f>
        <v>13</v>
      </c>
      <c r="L15" s="36" t="s">
        <v>59</v>
      </c>
      <c r="N15" s="27">
        <f>31.15</f>
        <v>31.15</v>
      </c>
      <c r="O15" s="36" t="s">
        <v>58</v>
      </c>
      <c r="Q15" s="35">
        <f>14.81+14.81</f>
        <v>29.62</v>
      </c>
      <c r="R15" s="36" t="s">
        <v>78</v>
      </c>
      <c r="T15" s="35">
        <f>9.4+12.24+16.65</f>
        <v>38.29</v>
      </c>
      <c r="U15" s="36" t="s">
        <v>100</v>
      </c>
      <c r="W15" s="35">
        <f>12.5+15</f>
        <v>27.5</v>
      </c>
      <c r="X15" s="36" t="s">
        <v>121</v>
      </c>
      <c r="Z15" s="35">
        <f>34.3</f>
        <v>34.299999999999997</v>
      </c>
      <c r="AA15" s="36" t="s">
        <v>137</v>
      </c>
      <c r="AF15" s="4"/>
      <c r="AG15" s="4"/>
      <c r="AH15" s="4"/>
      <c r="AI15" s="4"/>
      <c r="AJ15" s="4"/>
      <c r="AK15" s="4"/>
    </row>
    <row r="16" spans="1:37" ht="94.5" x14ac:dyDescent="0.25">
      <c r="A16" s="2" t="s">
        <v>12</v>
      </c>
      <c r="B16" s="53" t="s">
        <v>32</v>
      </c>
      <c r="C16" s="66">
        <f>E16+H16+K16+N16+Q16+T16+W16+Z16</f>
        <v>744.4369999999999</v>
      </c>
      <c r="D16" s="16"/>
      <c r="E16" s="38">
        <f>45.8+19.8+52.5</f>
        <v>118.1</v>
      </c>
      <c r="F16" s="54" t="s">
        <v>43</v>
      </c>
      <c r="G16" s="28"/>
      <c r="H16" s="38">
        <f>(209.81+46.15+135.94)*0.35</f>
        <v>137.16499999999999</v>
      </c>
      <c r="I16" s="54" t="s">
        <v>34</v>
      </c>
      <c r="K16" s="35">
        <f>(121.1+36.8+103.3)*0.35</f>
        <v>91.419999999999987</v>
      </c>
      <c r="L16" s="54" t="s">
        <v>64</v>
      </c>
      <c r="N16" s="35">
        <f>(211.35+62.88+145.97)*0.35</f>
        <v>147.07</v>
      </c>
      <c r="O16" s="54" t="s">
        <v>35</v>
      </c>
      <c r="Q16" s="35">
        <f>(109.09+115.88+48.85+55.9)*0.35</f>
        <v>115.40199999999999</v>
      </c>
      <c r="R16" s="54" t="s">
        <v>171</v>
      </c>
      <c r="T16" s="35">
        <f>(162.9+48.4+0.5)*0.35</f>
        <v>74.13</v>
      </c>
      <c r="U16" s="54" t="s">
        <v>107</v>
      </c>
      <c r="W16" s="35">
        <f>(26.25+12+22.9)</f>
        <v>61.15</v>
      </c>
      <c r="X16" s="54" t="s">
        <v>123</v>
      </c>
      <c r="AA16" s="54"/>
      <c r="AF16" s="4"/>
      <c r="AG16" s="4"/>
      <c r="AH16" s="4"/>
      <c r="AI16" s="4"/>
      <c r="AJ16" s="4"/>
      <c r="AK16" s="4"/>
    </row>
    <row r="17" spans="1:37" ht="53.25" customHeight="1" x14ac:dyDescent="0.25">
      <c r="A17" s="2" t="s">
        <v>13</v>
      </c>
      <c r="B17" s="53" t="s">
        <v>32</v>
      </c>
      <c r="C17" s="66">
        <f>E17+H17+K17+N17+Q17+T17+W17+Z17</f>
        <v>252.77849999999998</v>
      </c>
      <c r="D17" s="16"/>
      <c r="E17" s="38">
        <f>16.6+12.1+12.8</f>
        <v>41.5</v>
      </c>
      <c r="F17" s="54" t="s">
        <v>44</v>
      </c>
      <c r="G17" s="28"/>
      <c r="H17" s="38">
        <f>(62.59+25+39.6)*0.35</f>
        <v>44.516499999999994</v>
      </c>
      <c r="I17" s="54" t="s">
        <v>36</v>
      </c>
      <c r="K17" s="38">
        <f>(39.8+17.7+16.8)*0.35</f>
        <v>26.004999999999999</v>
      </c>
      <c r="L17" s="54" t="s">
        <v>65</v>
      </c>
      <c r="N17" s="38">
        <f>(58.98+29.58+42.5)*0.35</f>
        <v>45.870999999999995</v>
      </c>
      <c r="O17" s="54" t="s">
        <v>37</v>
      </c>
      <c r="Q17" s="35">
        <f>(51.82+38.4+69.74)*0.35</f>
        <v>55.98599999999999</v>
      </c>
      <c r="R17" s="54" t="s">
        <v>170</v>
      </c>
      <c r="T17" s="35">
        <f>(49.5+14.5)*0.35</f>
        <v>22.4</v>
      </c>
      <c r="U17" s="54" t="s">
        <v>108</v>
      </c>
      <c r="W17" s="35">
        <f>9.7+5.8+1</f>
        <v>16.5</v>
      </c>
      <c r="X17" s="54" t="s">
        <v>124</v>
      </c>
      <c r="AA17" s="54"/>
      <c r="AF17" s="4"/>
      <c r="AG17" s="4"/>
      <c r="AH17" s="4"/>
      <c r="AI17" s="4"/>
      <c r="AJ17" s="4"/>
      <c r="AK17" s="4"/>
    </row>
    <row r="18" spans="1:37" s="51" customFormat="1" ht="31.5" x14ac:dyDescent="0.25">
      <c r="A18" s="44" t="s">
        <v>68</v>
      </c>
      <c r="B18" s="44"/>
      <c r="C18" s="66">
        <f>E18+H18+K18+N18+Q18+T18+W18+Z18</f>
        <v>650.37</v>
      </c>
      <c r="D18" s="45"/>
      <c r="E18" s="46">
        <f>57+32.1</f>
        <v>89.1</v>
      </c>
      <c r="F18" s="47" t="s">
        <v>21</v>
      </c>
      <c r="G18" s="48"/>
      <c r="H18" s="49">
        <f>83.16+35.1</f>
        <v>118.25999999999999</v>
      </c>
      <c r="I18" s="47" t="s">
        <v>26</v>
      </c>
      <c r="J18" s="50"/>
      <c r="K18" s="49">
        <f>106.92</f>
        <v>106.92</v>
      </c>
      <c r="L18" s="47" t="s">
        <v>66</v>
      </c>
      <c r="M18" s="50"/>
      <c r="N18" s="49">
        <f>87.7+56.04</f>
        <v>143.74</v>
      </c>
      <c r="O18" s="47" t="s">
        <v>75</v>
      </c>
      <c r="P18" s="50"/>
      <c r="Q18" s="49">
        <f>43.1+27.4</f>
        <v>70.5</v>
      </c>
      <c r="R18" s="47" t="s">
        <v>76</v>
      </c>
      <c r="S18" s="50"/>
      <c r="T18" s="49">
        <f>34.4+24.5</f>
        <v>58.9</v>
      </c>
      <c r="U18" s="47" t="s">
        <v>98</v>
      </c>
      <c r="V18" s="50"/>
      <c r="W18" s="49">
        <f>47.15+15.8</f>
        <v>62.95</v>
      </c>
      <c r="X18" s="47" t="s">
        <v>117</v>
      </c>
      <c r="Y18" s="50"/>
      <c r="Z18" s="49"/>
      <c r="AA18" s="47"/>
      <c r="AB18" s="60"/>
      <c r="AF18" s="52"/>
      <c r="AG18" s="52"/>
      <c r="AH18" s="52"/>
      <c r="AI18" s="52"/>
      <c r="AJ18" s="52"/>
      <c r="AK18" s="52"/>
    </row>
    <row r="19" spans="1:37" s="51" customFormat="1" ht="31.5" x14ac:dyDescent="0.25">
      <c r="A19" s="44" t="s">
        <v>142</v>
      </c>
      <c r="B19" s="44"/>
      <c r="C19" s="66">
        <f>E19+H19+K19+N19+Q19+T19+W19+Z19</f>
        <v>67.3</v>
      </c>
      <c r="D19" s="45"/>
      <c r="E19" s="46"/>
      <c r="F19" s="47"/>
      <c r="G19" s="48"/>
      <c r="H19" s="49"/>
      <c r="I19" s="47"/>
      <c r="J19" s="50"/>
      <c r="K19" s="49"/>
      <c r="L19" s="47"/>
      <c r="M19" s="50"/>
      <c r="N19" s="49"/>
      <c r="O19" s="47"/>
      <c r="P19" s="50"/>
      <c r="Q19" s="49"/>
      <c r="R19" s="47"/>
      <c r="S19" s="50"/>
      <c r="T19" s="49"/>
      <c r="U19" s="47"/>
      <c r="V19" s="50"/>
      <c r="W19" s="49"/>
      <c r="X19" s="47"/>
      <c r="Y19" s="50"/>
      <c r="Z19" s="49">
        <f>60.1+7.2</f>
        <v>67.3</v>
      </c>
      <c r="AA19" s="47" t="s">
        <v>153</v>
      </c>
      <c r="AB19" s="60"/>
      <c r="AF19" s="52"/>
      <c r="AG19" s="52"/>
      <c r="AH19" s="52"/>
      <c r="AI19" s="52"/>
      <c r="AJ19" s="52"/>
      <c r="AK19" s="52"/>
    </row>
    <row r="20" spans="1:37" ht="54.75" customHeight="1" x14ac:dyDescent="0.25">
      <c r="A20" s="2" t="s">
        <v>14</v>
      </c>
      <c r="B20" s="2" t="s">
        <v>15</v>
      </c>
      <c r="C20" s="66">
        <f>E20+H20+K20+N20+Q20+T20+W20+Z20</f>
        <v>46.2</v>
      </c>
      <c r="D20" s="15"/>
      <c r="E20" s="40">
        <f>9.1</f>
        <v>9.1</v>
      </c>
      <c r="F20" s="39" t="s">
        <v>16</v>
      </c>
      <c r="G20" s="29"/>
      <c r="H20" s="35">
        <f>9.1</f>
        <v>9.1</v>
      </c>
      <c r="I20" s="39" t="s">
        <v>16</v>
      </c>
      <c r="K20" s="35">
        <f>9.1</f>
        <v>9.1</v>
      </c>
      <c r="L20" s="39" t="s">
        <v>16</v>
      </c>
      <c r="N20" s="35">
        <f>9.1</f>
        <v>9.1</v>
      </c>
      <c r="O20" s="39" t="s">
        <v>16</v>
      </c>
      <c r="T20" s="35">
        <f>9.8</f>
        <v>9.8000000000000007</v>
      </c>
      <c r="U20" s="39" t="s">
        <v>102</v>
      </c>
      <c r="AF20" s="4"/>
      <c r="AG20" s="4"/>
      <c r="AH20" s="4"/>
      <c r="AI20" s="4"/>
      <c r="AJ20" s="4"/>
      <c r="AK20" s="4"/>
    </row>
    <row r="21" spans="1:37" ht="54.75" customHeight="1" x14ac:dyDescent="0.25">
      <c r="A21" s="2" t="s">
        <v>104</v>
      </c>
      <c r="B21" s="2" t="s">
        <v>103</v>
      </c>
      <c r="C21" s="66">
        <f>E21+H21+K21+N21+Q21+T21+W21+Z21</f>
        <v>81.819999999999993</v>
      </c>
      <c r="D21" s="16"/>
      <c r="E21" s="40"/>
      <c r="F21" s="39"/>
      <c r="G21" s="29"/>
      <c r="I21" s="39"/>
      <c r="L21" s="39"/>
      <c r="O21" s="39"/>
      <c r="T21" s="35">
        <f>81.82</f>
        <v>81.819999999999993</v>
      </c>
      <c r="U21" s="39" t="s">
        <v>105</v>
      </c>
      <c r="AF21" s="4"/>
      <c r="AG21" s="4"/>
      <c r="AH21" s="4"/>
      <c r="AI21" s="4"/>
      <c r="AJ21" s="4"/>
      <c r="AK21" s="4"/>
    </row>
    <row r="22" spans="1:37" ht="71.25" customHeight="1" x14ac:dyDescent="0.25">
      <c r="A22" s="2" t="s">
        <v>144</v>
      </c>
      <c r="B22" s="53" t="s">
        <v>33</v>
      </c>
      <c r="C22" s="66">
        <f>E22+H22+K22+N22+Q22+T22+W22+Z22</f>
        <v>237.5926</v>
      </c>
      <c r="D22" s="16"/>
      <c r="E22" s="38">
        <f>15.4+3.7+8.8+0.7</f>
        <v>28.6</v>
      </c>
      <c r="F22" s="54" t="s">
        <v>45</v>
      </c>
      <c r="G22" s="28"/>
      <c r="H22" s="38">
        <f>(50.15+47+19.5)*0.22</f>
        <v>25.663</v>
      </c>
      <c r="I22" s="54" t="s">
        <v>38</v>
      </c>
      <c r="K22" s="35">
        <f>(73.1+47+32.9)*0.22</f>
        <v>33.660000000000004</v>
      </c>
      <c r="L22" s="54" t="s">
        <v>67</v>
      </c>
      <c r="N22" s="38">
        <f>(58.98+52.2+6.85)*0.22</f>
        <v>25.9666</v>
      </c>
      <c r="O22" s="54" t="s">
        <v>39</v>
      </c>
      <c r="Q22" s="35">
        <f>(62.1+98.9+41.75)*0.22</f>
        <v>44.604999999999997</v>
      </c>
      <c r="R22" s="54" t="s">
        <v>172</v>
      </c>
      <c r="T22" s="38">
        <f>(21.6+4.4+0.88+15.9+23.8+8.2)*0.22</f>
        <v>16.451599999999999</v>
      </c>
      <c r="U22" s="54" t="s">
        <v>109</v>
      </c>
      <c r="W22" s="35">
        <f>1.3+3.4+7.1</f>
        <v>11.8</v>
      </c>
      <c r="X22" s="54" t="s">
        <v>127</v>
      </c>
      <c r="Z22" s="38">
        <f>(55.26+120.61+33.95+7.5+6.3+7.5)*0.22</f>
        <v>50.846400000000003</v>
      </c>
      <c r="AA22" s="54" t="s">
        <v>143</v>
      </c>
      <c r="AF22" s="4"/>
      <c r="AG22" s="4"/>
      <c r="AH22" s="4"/>
      <c r="AI22" s="4"/>
      <c r="AJ22" s="4"/>
      <c r="AK22" s="4"/>
    </row>
    <row r="23" spans="1:37" ht="47.25" x14ac:dyDescent="0.25">
      <c r="A23" s="2" t="s">
        <v>145</v>
      </c>
      <c r="B23" s="53" t="s">
        <v>33</v>
      </c>
      <c r="C23" s="66">
        <f>E23+H23+K23+N23+Q23+T23+W23+Z23</f>
        <v>74.040000000000006</v>
      </c>
      <c r="D23" s="16"/>
      <c r="E23" s="38">
        <f>2.2+2.8</f>
        <v>5</v>
      </c>
      <c r="F23" s="54" t="s">
        <v>46</v>
      </c>
      <c r="G23" s="28"/>
      <c r="H23" s="37">
        <f>9.8+9.6+8.2</f>
        <v>27.599999999999998</v>
      </c>
      <c r="I23" s="54" t="s">
        <v>69</v>
      </c>
      <c r="K23" s="35">
        <f>(14.9+16.9+17.6)*0.22</f>
        <v>10.868</v>
      </c>
      <c r="L23" s="54" t="s">
        <v>70</v>
      </c>
      <c r="N23" s="35">
        <f>(21.66+29.18+8.21)*0.22</f>
        <v>12.991000000000001</v>
      </c>
      <c r="O23" s="54" t="s">
        <v>40</v>
      </c>
      <c r="T23" s="35">
        <f>(4+0.4)*0.22</f>
        <v>0.96800000000000008</v>
      </c>
      <c r="U23" s="54" t="s">
        <v>110</v>
      </c>
      <c r="W23" s="35">
        <f>2.5+1.1</f>
        <v>3.6</v>
      </c>
      <c r="X23" s="54" t="s">
        <v>128</v>
      </c>
      <c r="Z23" s="35">
        <f>(23.1+32.45+3.6)*0.22</f>
        <v>13.013000000000002</v>
      </c>
      <c r="AA23" s="54" t="s">
        <v>146</v>
      </c>
      <c r="AF23" s="4"/>
      <c r="AG23" s="4"/>
      <c r="AH23" s="4"/>
      <c r="AI23" s="4"/>
      <c r="AJ23" s="4"/>
      <c r="AK23" s="4"/>
    </row>
    <row r="24" spans="1:37" ht="31.5" x14ac:dyDescent="0.25">
      <c r="A24" s="2" t="s">
        <v>147</v>
      </c>
      <c r="B24" s="2" t="s">
        <v>148</v>
      </c>
      <c r="C24" s="66">
        <f>E24+H24+K24+N24+Q24+T24+W24+Z24</f>
        <v>3.9788000000000001</v>
      </c>
      <c r="D24" s="16"/>
      <c r="E24" s="38"/>
      <c r="F24" s="54"/>
      <c r="G24" s="28"/>
      <c r="H24" s="37"/>
      <c r="I24" s="54"/>
      <c r="L24" s="54"/>
      <c r="O24" s="54"/>
      <c r="U24" s="54"/>
      <c r="X24" s="54"/>
      <c r="Z24" s="38">
        <f>(3.61+10.6)*0.28</f>
        <v>3.9788000000000001</v>
      </c>
      <c r="AA24" s="54" t="s">
        <v>149</v>
      </c>
      <c r="AF24" s="4"/>
      <c r="AG24" s="4"/>
      <c r="AH24" s="4"/>
      <c r="AI24" s="4"/>
      <c r="AJ24" s="4"/>
      <c r="AK24" s="4"/>
    </row>
    <row r="25" spans="1:37" ht="31.5" x14ac:dyDescent="0.25">
      <c r="A25" s="2" t="s">
        <v>150</v>
      </c>
      <c r="B25" s="2" t="s">
        <v>148</v>
      </c>
      <c r="C25" s="66">
        <f>E25+H25+K25+N25+Q25+T25+W25+Z25</f>
        <v>1.9600000000000002</v>
      </c>
      <c r="D25" s="16"/>
      <c r="E25" s="38"/>
      <c r="F25" s="54"/>
      <c r="G25" s="28"/>
      <c r="H25" s="37"/>
      <c r="I25" s="54"/>
      <c r="L25" s="54"/>
      <c r="O25" s="54"/>
      <c r="U25" s="54"/>
      <c r="X25" s="54"/>
      <c r="Z25" s="35">
        <f>7*0.28</f>
        <v>1.9600000000000002</v>
      </c>
      <c r="AA25" s="54" t="s">
        <v>151</v>
      </c>
      <c r="AF25" s="4"/>
      <c r="AG25" s="4"/>
      <c r="AH25" s="4"/>
      <c r="AI25" s="4"/>
      <c r="AJ25" s="4"/>
      <c r="AK25" s="4"/>
    </row>
    <row r="26" spans="1:37" ht="54.75" customHeight="1" x14ac:dyDescent="0.25">
      <c r="A26" s="3" t="s">
        <v>17</v>
      </c>
      <c r="B26" s="53" t="s">
        <v>18</v>
      </c>
      <c r="C26" s="66">
        <f>E26+H26+K26+N26+Q26+T26+W26+Z26</f>
        <v>272.08299999999997</v>
      </c>
      <c r="D26" s="17"/>
      <c r="E26" s="35">
        <f>10.5+17.5</f>
        <v>28</v>
      </c>
      <c r="F26" s="54" t="s">
        <v>125</v>
      </c>
      <c r="H26" s="35">
        <f>(34.01+92.53)*0.3</f>
        <v>37.961999999999996</v>
      </c>
      <c r="I26" s="39" t="s">
        <v>41</v>
      </c>
      <c r="K26" s="35">
        <f>34+67.2</f>
        <v>101.2</v>
      </c>
      <c r="L26" s="39" t="s">
        <v>71</v>
      </c>
      <c r="N26" s="38">
        <f>(33.72+90.8)*0.3</f>
        <v>37.355999999999995</v>
      </c>
      <c r="O26" s="39" t="s">
        <v>42</v>
      </c>
      <c r="T26" s="38">
        <f>(82.4+10.95)*0.3</f>
        <v>28.005000000000003</v>
      </c>
      <c r="U26" s="39" t="s">
        <v>106</v>
      </c>
      <c r="W26" s="35">
        <f>8.9+1.4+5.5</f>
        <v>15.8</v>
      </c>
      <c r="X26" s="54" t="s">
        <v>126</v>
      </c>
      <c r="Z26" s="35">
        <f>79.2*0.3</f>
        <v>23.76</v>
      </c>
      <c r="AA26" s="54" t="s">
        <v>152</v>
      </c>
      <c r="AF26" s="4"/>
      <c r="AG26" s="4"/>
      <c r="AH26" s="4"/>
      <c r="AI26" s="4"/>
      <c r="AJ26" s="4"/>
      <c r="AK26" s="4"/>
    </row>
    <row r="27" spans="1:37" ht="54" customHeight="1" x14ac:dyDescent="0.25">
      <c r="A27" s="3" t="s">
        <v>19</v>
      </c>
      <c r="B27" s="2" t="s">
        <v>20</v>
      </c>
      <c r="C27" s="66">
        <f>E27+H27+K27+N27+Q27+T27+W27+Z27</f>
        <v>294.07</v>
      </c>
      <c r="D27" s="18"/>
      <c r="E27" s="40">
        <f>95.47+17.47</f>
        <v>112.94</v>
      </c>
      <c r="F27" s="36" t="s">
        <v>60</v>
      </c>
      <c r="G27" s="29"/>
      <c r="H27" s="35">
        <f>13.72</f>
        <v>13.72</v>
      </c>
      <c r="I27" s="36" t="s">
        <v>61</v>
      </c>
      <c r="K27" s="35">
        <f>14.1</f>
        <v>14.1</v>
      </c>
      <c r="L27" s="36" t="s">
        <v>63</v>
      </c>
      <c r="N27" s="35">
        <f>12.85</f>
        <v>12.85</v>
      </c>
      <c r="O27" s="36" t="s">
        <v>62</v>
      </c>
      <c r="Q27" s="35">
        <f>12.45+12.45</f>
        <v>24.9</v>
      </c>
      <c r="R27" s="36" t="s">
        <v>79</v>
      </c>
      <c r="T27" s="35">
        <f>10.8+8+16.46</f>
        <v>35.260000000000005</v>
      </c>
      <c r="U27" s="36" t="s">
        <v>101</v>
      </c>
      <c r="W27" s="35">
        <f>12.3+36.5</f>
        <v>48.8</v>
      </c>
      <c r="X27" s="36" t="s">
        <v>129</v>
      </c>
      <c r="Z27" s="35">
        <f>9.9+21.6</f>
        <v>31.5</v>
      </c>
      <c r="AA27" s="36" t="s">
        <v>138</v>
      </c>
      <c r="AF27" s="4"/>
      <c r="AG27" s="4"/>
      <c r="AH27" s="4"/>
      <c r="AI27" s="4"/>
      <c r="AJ27" s="4"/>
      <c r="AK27" s="4"/>
    </row>
    <row r="28" spans="1:37" ht="86.25" customHeight="1" x14ac:dyDescent="0.25">
      <c r="A28" s="3" t="s">
        <v>80</v>
      </c>
      <c r="B28" s="2" t="s">
        <v>81</v>
      </c>
      <c r="C28" s="66">
        <f>E28+H28+K28+N28+Q28+T28+W28+Z28</f>
        <v>117.14999999999999</v>
      </c>
      <c r="D28" s="15"/>
      <c r="Q28" s="35">
        <f>18.55+98.6</f>
        <v>117.14999999999999</v>
      </c>
      <c r="R28" s="36" t="s">
        <v>82</v>
      </c>
      <c r="AF28" s="4"/>
      <c r="AG28" s="4"/>
      <c r="AH28" s="4"/>
      <c r="AI28" s="4"/>
      <c r="AJ28" s="4"/>
      <c r="AK28" s="4"/>
    </row>
    <row r="29" spans="1:37" s="1" customFormat="1" ht="38.25" customHeight="1" x14ac:dyDescent="0.25">
      <c r="A29" s="2" t="s">
        <v>130</v>
      </c>
      <c r="B29" s="2" t="s">
        <v>131</v>
      </c>
      <c r="C29" s="66">
        <f>E29+H29+K29+N29+Q29+T29+W29+Z29</f>
        <v>36.400000000000006</v>
      </c>
      <c r="D29" s="16"/>
      <c r="E29" s="35"/>
      <c r="F29" s="36"/>
      <c r="G29" s="26"/>
      <c r="H29" s="35"/>
      <c r="I29" s="35"/>
      <c r="J29" s="42"/>
      <c r="K29" s="35"/>
      <c r="L29" s="35"/>
      <c r="M29" s="42"/>
      <c r="N29" s="35"/>
      <c r="O29" s="35"/>
      <c r="P29" s="42"/>
      <c r="Q29" s="35"/>
      <c r="R29" s="35"/>
      <c r="S29" s="42"/>
      <c r="T29" s="35"/>
      <c r="U29" s="35"/>
      <c r="V29" s="42"/>
      <c r="W29" s="35">
        <f>17.6+18.8</f>
        <v>36.400000000000006</v>
      </c>
      <c r="X29" s="36" t="s">
        <v>134</v>
      </c>
      <c r="Y29" s="42"/>
      <c r="Z29" s="35"/>
      <c r="AA29" s="35"/>
      <c r="AB29" s="22"/>
      <c r="AF29" s="6"/>
      <c r="AG29" s="6"/>
      <c r="AH29" s="7"/>
      <c r="AI29" s="6"/>
      <c r="AJ29" s="6"/>
      <c r="AK29" s="6"/>
    </row>
    <row r="30" spans="1:37" ht="37.5" customHeight="1" x14ac:dyDescent="0.25">
      <c r="A30" s="2" t="s">
        <v>132</v>
      </c>
      <c r="B30" s="2" t="s">
        <v>133</v>
      </c>
      <c r="C30" s="66">
        <f>E30+H30+K30+N30+Q30+T30+W30+Z30</f>
        <v>14</v>
      </c>
      <c r="D30" s="17"/>
      <c r="W30" s="35">
        <f>14</f>
        <v>14</v>
      </c>
      <c r="X30" s="36" t="s">
        <v>135</v>
      </c>
      <c r="Z30" s="27"/>
      <c r="AF30" s="4"/>
      <c r="AG30" s="4"/>
      <c r="AH30" s="4"/>
      <c r="AI30" s="4"/>
      <c r="AJ30" s="4"/>
      <c r="AK30" s="4"/>
    </row>
    <row r="31" spans="1:37" ht="57" customHeight="1" x14ac:dyDescent="0.25">
      <c r="A31" s="3" t="s">
        <v>155</v>
      </c>
      <c r="B31" s="3" t="s">
        <v>173</v>
      </c>
      <c r="C31" s="66">
        <f>E31+H31+K31+N31+Q31+T31+W31+Z31</f>
        <v>1543.81</v>
      </c>
      <c r="D31" s="18"/>
      <c r="Z31" s="35">
        <f>1543.81</f>
        <v>1543.81</v>
      </c>
      <c r="AA31" s="35" t="s">
        <v>154</v>
      </c>
    </row>
    <row r="32" spans="1:37" ht="117" customHeight="1" x14ac:dyDescent="0.25">
      <c r="A32" s="3" t="s">
        <v>156</v>
      </c>
      <c r="B32" s="3" t="s">
        <v>174</v>
      </c>
      <c r="C32" s="66">
        <f>E32+H32+K32+N32+Q32+T32+W32+Z32</f>
        <v>800.55</v>
      </c>
      <c r="D32" s="18"/>
      <c r="Z32" s="35">
        <f>800.55</f>
        <v>800.55</v>
      </c>
      <c r="AA32" s="35" t="s">
        <v>157</v>
      </c>
    </row>
    <row r="33" spans="1:28" ht="54.75" customHeight="1" x14ac:dyDescent="0.25">
      <c r="A33" s="3" t="s">
        <v>161</v>
      </c>
      <c r="B33" s="3" t="s">
        <v>162</v>
      </c>
      <c r="C33" s="66">
        <f>E33+H33+K33+N33+Q33+T33+W33+Z33</f>
        <v>336.23</v>
      </c>
      <c r="D33" s="18"/>
      <c r="E33" s="38">
        <f>6.7+8.6+3.34+7.81+4.3+3.52+5.2+3.34+0.69+0.5</f>
        <v>44</v>
      </c>
      <c r="F33" s="36" t="s">
        <v>163</v>
      </c>
      <c r="H33" s="35">
        <f>8.07+5.11+3.27+5.2+10.4+0.69+7.61+7.02+0.5</f>
        <v>47.86999999999999</v>
      </c>
      <c r="I33" s="35" t="s">
        <v>164</v>
      </c>
      <c r="K33" s="35">
        <f>7.4+9+4.8+7.6+4.3+3.7+5.3+3.5+0.76+0.73</f>
        <v>47.089999999999989</v>
      </c>
      <c r="L33" s="35" t="s">
        <v>165</v>
      </c>
      <c r="N33" s="35">
        <f>4.7+5.2+3.41+8.1+5.83+7.02+8.09+5.2+0.5+0.69+3.4</f>
        <v>52.140000000000008</v>
      </c>
      <c r="O33" s="35" t="s">
        <v>166</v>
      </c>
      <c r="Q33" s="35">
        <f>4+4.46+4.05+3.1+4.55+4.55+5.48+4.5+4.75+4.55+3.47+0.5</f>
        <v>47.959999999999994</v>
      </c>
      <c r="R33" s="36" t="s">
        <v>167</v>
      </c>
      <c r="T33" s="35">
        <f>3.7+4.37+5.8+4.8+5.28+4.62</f>
        <v>28.570000000000004</v>
      </c>
      <c r="U33" s="36" t="s">
        <v>168</v>
      </c>
      <c r="W33" s="35">
        <f>68.6</f>
        <v>68.599999999999994</v>
      </c>
      <c r="X33" s="35" t="s">
        <v>169</v>
      </c>
    </row>
    <row r="34" spans="1:28" ht="37.5" customHeight="1" x14ac:dyDescent="0.25">
      <c r="A34" s="3" t="s">
        <v>160</v>
      </c>
      <c r="B34" s="3" t="s">
        <v>159</v>
      </c>
      <c r="C34" s="66">
        <f>E34+H34+K34+N34+Q34+T34+W34+Z34</f>
        <v>1353.4450000000002</v>
      </c>
      <c r="D34" s="19"/>
      <c r="E34" s="35">
        <f>51.13+59.34+19.78+15.87+9.06</f>
        <v>155.18</v>
      </c>
      <c r="H34" s="38">
        <f>114.67+19.745+8.22</f>
        <v>142.63499999999999</v>
      </c>
      <c r="K34" s="35">
        <f>51.01+59.86+19.78+9</f>
        <v>139.65</v>
      </c>
      <c r="N34" s="35">
        <f>114.83+19.78+7.9</f>
        <v>142.51000000000002</v>
      </c>
      <c r="Q34" s="35">
        <f>32.14+100.65+24.63+23.61+10.52+10.52</f>
        <v>202.07000000000005</v>
      </c>
      <c r="T34" s="35">
        <f>64.21+17.6+17.32+41.36+6.5+8.44+11.48</f>
        <v>166.91</v>
      </c>
      <c r="W34" s="35">
        <f>69.6+10.17+17.5+44.1+1.9+58.6</f>
        <v>201.87</v>
      </c>
      <c r="Z34" s="35">
        <f>153.9+12+12+0.8+9.4+14.52</f>
        <v>202.62000000000003</v>
      </c>
    </row>
    <row r="35" spans="1:28" s="1" customFormat="1" x14ac:dyDescent="0.25">
      <c r="A35" s="3"/>
      <c r="B35" s="3"/>
      <c r="C35" s="41"/>
      <c r="D35" s="20"/>
      <c r="E35" s="35"/>
      <c r="F35" s="36"/>
      <c r="G35" s="26"/>
      <c r="H35" s="35"/>
      <c r="I35" s="35"/>
      <c r="J35" s="42"/>
      <c r="K35" s="35"/>
      <c r="L35" s="35"/>
      <c r="M35" s="42"/>
      <c r="N35" s="35"/>
      <c r="O35" s="35"/>
      <c r="P35" s="42"/>
      <c r="Q35" s="35"/>
      <c r="R35" s="35"/>
      <c r="S35" s="42"/>
      <c r="T35" s="35"/>
      <c r="U35" s="35"/>
      <c r="V35" s="42"/>
      <c r="W35" s="35"/>
      <c r="X35" s="35"/>
      <c r="Y35" s="42"/>
      <c r="Z35" s="35"/>
      <c r="AA35" s="35"/>
      <c r="AB35" s="22"/>
    </row>
    <row r="36" spans="1:28" x14ac:dyDescent="0.25">
      <c r="A36" s="3"/>
      <c r="B36" s="3"/>
      <c r="C36" s="41"/>
      <c r="D36" s="21"/>
    </row>
    <row r="37" spans="1:28" x14ac:dyDescent="0.25">
      <c r="C37" s="67"/>
    </row>
    <row r="38" spans="1:28" ht="319.5" customHeight="1" x14ac:dyDescent="0.25">
      <c r="A38" s="61" t="s">
        <v>158</v>
      </c>
      <c r="B38" s="62"/>
      <c r="C38" s="62"/>
      <c r="D38" s="25"/>
    </row>
  </sheetData>
  <mergeCells count="12">
    <mergeCell ref="W8:X8"/>
    <mergeCell ref="A1:C1"/>
    <mergeCell ref="A3:C3"/>
    <mergeCell ref="A5:C5"/>
    <mergeCell ref="T8:U8"/>
    <mergeCell ref="E8:F8"/>
    <mergeCell ref="H8:I8"/>
    <mergeCell ref="N8:O8"/>
    <mergeCell ref="K8:L8"/>
    <mergeCell ref="Q8:R8"/>
    <mergeCell ref="A38:C38"/>
    <mergeCell ref="A6:C6"/>
  </mergeCells>
  <pageMargins left="0.7" right="0.7" top="0.75" bottom="0.75" header="0.3" footer="0.3"/>
  <pageSetup paperSize="9" scale="26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Водкина Александра Викторовна</dc:creator>
  <cp:lastModifiedBy>Култаева Елена Юрьевна</cp:lastModifiedBy>
  <cp:lastPrinted>2026-06-03T09:23:14Z</cp:lastPrinted>
  <dcterms:created xsi:type="dcterms:W3CDTF">2025-03-07T03:24:54Z</dcterms:created>
  <dcterms:modified xsi:type="dcterms:W3CDTF">2026-08-19T05:20:05Z</dcterms:modified>
</cp:coreProperties>
</file>