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04B50A5D-A23E-4CD2-BCB3-E5B251D687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граждения" sheetId="6" r:id="rId1"/>
  </sheets>
  <calcPr calcId="191029"/>
</workbook>
</file>

<file path=xl/calcChain.xml><?xml version="1.0" encoding="utf-8"?>
<calcChain xmlns="http://schemas.openxmlformats.org/spreadsheetml/2006/main">
  <c r="AE25" i="6" l="1"/>
  <c r="R25" i="6"/>
  <c r="AE23" i="6"/>
  <c r="AE22" i="6"/>
  <c r="AE21" i="6"/>
  <c r="AE20" i="6"/>
  <c r="AE19" i="6"/>
  <c r="AE18" i="6"/>
  <c r="AE17" i="6"/>
  <c r="AE16" i="6"/>
  <c r="AE12" i="6"/>
  <c r="AE11" i="6"/>
  <c r="AE10" i="6"/>
  <c r="AE9" i="6"/>
  <c r="AE8" i="6"/>
  <c r="AE7" i="6"/>
  <c r="AD24" i="6"/>
  <c r="AB24" i="6"/>
  <c r="Z24" i="6"/>
  <c r="X24" i="6"/>
  <c r="V24" i="6"/>
  <c r="T24" i="6"/>
  <c r="R24" i="6"/>
  <c r="P24" i="6"/>
  <c r="N24" i="6"/>
  <c r="L24" i="6"/>
  <c r="J24" i="6"/>
  <c r="H24" i="6"/>
  <c r="F24" i="6"/>
  <c r="E24" i="6"/>
  <c r="D24" i="6"/>
  <c r="C24" i="6"/>
  <c r="B24" i="6"/>
  <c r="F15" i="6"/>
  <c r="AC23" i="6"/>
  <c r="AD23" i="6" s="1"/>
  <c r="S23" i="6"/>
  <c r="T23" i="6" s="1"/>
  <c r="M23" i="6"/>
  <c r="N23" i="6" s="1"/>
  <c r="K23" i="6"/>
  <c r="L23" i="6" s="1"/>
  <c r="I23" i="6"/>
  <c r="J23" i="6" s="1"/>
  <c r="O23" i="6"/>
  <c r="P23" i="6" s="1"/>
  <c r="F23" i="6"/>
  <c r="S22" i="6"/>
  <c r="T22" i="6" s="1"/>
  <c r="Y22" i="6"/>
  <c r="Z22" i="6" s="1"/>
  <c r="W22" i="6"/>
  <c r="X22" i="6" s="1"/>
  <c r="M22" i="6"/>
  <c r="N22" i="6" s="1"/>
  <c r="K22" i="6"/>
  <c r="L22" i="6" s="1"/>
  <c r="I22" i="6"/>
  <c r="J22" i="6" s="1"/>
  <c r="F22" i="6"/>
  <c r="Y20" i="6"/>
  <c r="Z20" i="6" s="1"/>
  <c r="W20" i="6"/>
  <c r="X20" i="6" s="1"/>
  <c r="Y19" i="6"/>
  <c r="Z19" i="6" s="1"/>
  <c r="W19" i="6"/>
  <c r="X19" i="6" s="1"/>
  <c r="W18" i="6"/>
  <c r="X18" i="6" s="1"/>
  <c r="Y18" i="6"/>
  <c r="Z18" i="6" s="1"/>
  <c r="Y17" i="6"/>
  <c r="Z17" i="6" s="1"/>
  <c r="W17" i="6"/>
  <c r="X17" i="6" s="1"/>
  <c r="S21" i="6"/>
  <c r="T21" i="6" s="1"/>
  <c r="AC21" i="6"/>
  <c r="AD21" i="6" s="1"/>
  <c r="M21" i="6"/>
  <c r="N21" i="6" s="1"/>
  <c r="K21" i="6"/>
  <c r="L21" i="6" s="1"/>
  <c r="I21" i="6"/>
  <c r="J21" i="6" s="1"/>
  <c r="O21" i="6"/>
  <c r="P21" i="6" s="1"/>
  <c r="F21" i="6"/>
  <c r="Q20" i="6"/>
  <c r="R20" i="6" s="1"/>
  <c r="M20" i="6"/>
  <c r="N20" i="6" s="1"/>
  <c r="K20" i="6"/>
  <c r="L20" i="6" s="1"/>
  <c r="I20" i="6"/>
  <c r="J20" i="6" s="1"/>
  <c r="O20" i="6"/>
  <c r="P20" i="6"/>
  <c r="F20" i="6"/>
  <c r="Q19" i="6"/>
  <c r="R19" i="6" s="1"/>
  <c r="M19" i="6"/>
  <c r="N19" i="6" s="1"/>
  <c r="K19" i="6"/>
  <c r="L19" i="6" s="1"/>
  <c r="I19" i="6"/>
  <c r="J19" i="6" s="1"/>
  <c r="O19" i="6"/>
  <c r="P19" i="6" s="1"/>
  <c r="F19" i="6"/>
  <c r="Q18" i="6"/>
  <c r="R18" i="6" s="1"/>
  <c r="M18" i="6"/>
  <c r="N18" i="6" s="1"/>
  <c r="K18" i="6"/>
  <c r="L18" i="6" s="1"/>
  <c r="I18" i="6"/>
  <c r="J18" i="6" s="1"/>
  <c r="O18" i="6"/>
  <c r="P18" i="6" s="1"/>
  <c r="F18" i="6"/>
  <c r="F17" i="6"/>
  <c r="F14" i="6"/>
  <c r="F13" i="6"/>
  <c r="F12" i="6"/>
  <c r="F11" i="6"/>
  <c r="F10" i="6"/>
  <c r="H10" i="6" s="1"/>
  <c r="F9" i="6"/>
  <c r="F8" i="6"/>
  <c r="F7" i="6"/>
  <c r="Q17" i="6"/>
  <c r="R17" i="6" s="1"/>
  <c r="M17" i="6"/>
  <c r="N17" i="6" s="1"/>
  <c r="K17" i="6"/>
  <c r="L17" i="6" s="1"/>
  <c r="O17" i="6"/>
  <c r="P17" i="6" s="1"/>
  <c r="I17" i="6"/>
  <c r="J17" i="6" s="1"/>
  <c r="Y16" i="6"/>
  <c r="Z16" i="6" s="1"/>
  <c r="G16" i="6"/>
  <c r="H16" i="6" s="1"/>
  <c r="U16" i="6"/>
  <c r="V16" i="6" s="1"/>
  <c r="AC16" i="6"/>
  <c r="AD16" i="6" s="1"/>
  <c r="M16" i="6"/>
  <c r="N16" i="6" s="1"/>
  <c r="K16" i="6"/>
  <c r="L16" i="6" s="1"/>
  <c r="F16" i="6"/>
  <c r="AA12" i="6"/>
  <c r="AB12" i="6" s="1"/>
  <c r="U12" i="6"/>
  <c r="V12" i="6" s="1"/>
  <c r="S12" i="6"/>
  <c r="T12" i="6" s="1"/>
  <c r="M12" i="6"/>
  <c r="N12" i="6" s="1"/>
  <c r="K12" i="6"/>
  <c r="L12" i="6" s="1"/>
  <c r="G12" i="6"/>
  <c r="H12" i="6" s="1"/>
  <c r="O12" i="6"/>
  <c r="P12" i="6" s="1"/>
  <c r="AA9" i="6"/>
  <c r="AB9" i="6" s="1"/>
  <c r="U9" i="6"/>
  <c r="V9" i="6" s="1"/>
  <c r="S9" i="6"/>
  <c r="T9" i="6" s="1"/>
  <c r="M9" i="6"/>
  <c r="N9" i="6" s="1"/>
  <c r="K9" i="6"/>
  <c r="L9" i="6" s="1"/>
  <c r="G9" i="6"/>
  <c r="H9" i="6" s="1"/>
  <c r="O9" i="6"/>
  <c r="P9" i="6" s="1"/>
  <c r="M11" i="6"/>
  <c r="N11" i="6" s="1"/>
  <c r="G11" i="6"/>
  <c r="H11" i="6" s="1"/>
  <c r="Y10" i="6"/>
  <c r="Z10" i="6" s="1"/>
  <c r="U10" i="6"/>
  <c r="V10" i="6" s="1"/>
  <c r="S10" i="6"/>
  <c r="T10" i="6" s="1"/>
  <c r="G10" i="6"/>
  <c r="S8" i="6" l="1"/>
  <c r="T8" i="6" s="1"/>
  <c r="U8" i="6"/>
  <c r="V8" i="6" s="1"/>
  <c r="M8" i="6"/>
  <c r="N8" i="6" s="1"/>
  <c r="K8" i="6"/>
  <c r="L8" i="6" s="1"/>
  <c r="G8" i="6"/>
  <c r="H8" i="6" s="1"/>
  <c r="Y7" i="6" l="1"/>
  <c r="Z7" i="6" s="1"/>
  <c r="U7" i="6"/>
  <c r="V7" i="6" s="1"/>
  <c r="G7" i="6"/>
  <c r="H7" i="6" s="1"/>
  <c r="S7" i="6"/>
  <c r="T7" i="6" s="1"/>
</calcChain>
</file>

<file path=xl/sharedStrings.xml><?xml version="1.0" encoding="utf-8"?>
<sst xmlns="http://schemas.openxmlformats.org/spreadsheetml/2006/main" count="87" uniqueCount="54">
  <si>
    <t>всего</t>
  </si>
  <si>
    <t>Наименование</t>
  </si>
  <si>
    <t>Конструкции</t>
  </si>
  <si>
    <t>Итого</t>
  </si>
  <si>
    <t>ОГ-16</t>
  </si>
  <si>
    <t>ОГ-17</t>
  </si>
  <si>
    <t>Элементы ограждений</t>
  </si>
  <si>
    <t>Общий вес ограждений</t>
  </si>
  <si>
    <t>на 1 орг.</t>
  </si>
  <si>
    <t>тонн</t>
  </si>
  <si>
    <t>ОГ-6</t>
  </si>
  <si>
    <t>ОГ-8</t>
  </si>
  <si>
    <t>ОГ-9</t>
  </si>
  <si>
    <t>ОГ-10</t>
  </si>
  <si>
    <t>ОГ-11</t>
  </si>
  <si>
    <t>Приложение №1</t>
  </si>
  <si>
    <t>Итого (т)
на 1 шт</t>
  </si>
  <si>
    <t>лист 
в РД</t>
  </si>
  <si>
    <t>ОГ-1</t>
  </si>
  <si>
    <t>ОГ-2</t>
  </si>
  <si>
    <t>ОГ-3</t>
  </si>
  <si>
    <t>ОГ-4</t>
  </si>
  <si>
    <t>ОГ-5</t>
  </si>
  <si>
    <t>подвал</t>
  </si>
  <si>
    <t>Длина,
п.м.</t>
  </si>
  <si>
    <t>КОЛИЧЕСТВО</t>
  </si>
  <si>
    <r>
      <t xml:space="preserve">Труба кв. 40х40х3,0 мм (т) 
</t>
    </r>
    <r>
      <rPr>
        <sz val="12"/>
        <color theme="1"/>
        <rFont val="Times New Roman"/>
        <family val="1"/>
        <charset val="204"/>
      </rPr>
      <t>ГОСТ 32931-2015</t>
    </r>
  </si>
  <si>
    <r>
      <t xml:space="preserve">Пластина,
 t=3 мм (т)
</t>
    </r>
    <r>
      <rPr>
        <sz val="12"/>
        <color theme="1"/>
        <rFont val="Times New Roman"/>
        <family val="1"/>
        <charset val="204"/>
      </rPr>
      <t>ГОСТ 19903-2015</t>
    </r>
  </si>
  <si>
    <r>
      <t xml:space="preserve">Пластина,
 t=6 мм (т)
</t>
    </r>
    <r>
      <rPr>
        <sz val="12"/>
        <color theme="1"/>
        <rFont val="Times New Roman"/>
        <family val="1"/>
        <charset val="204"/>
      </rPr>
      <t>ГОСТ 19903-2015</t>
    </r>
  </si>
  <si>
    <t>HBM 8х60 (шт)
Tech-KREP</t>
  </si>
  <si>
    <t>6906-01-АР, л.41</t>
  </si>
  <si>
    <r>
      <t xml:space="preserve">Труба кв. 20х20х2,0 мм (т) 
</t>
    </r>
    <r>
      <rPr>
        <sz val="12"/>
        <color theme="1"/>
        <rFont val="Times New Roman"/>
        <family val="1"/>
        <charset val="204"/>
      </rPr>
      <t>ГОСТ 32931-2015</t>
    </r>
  </si>
  <si>
    <r>
      <t xml:space="preserve">Труба кв. 15х15х1,5 мм (т) 
</t>
    </r>
    <r>
      <rPr>
        <sz val="12"/>
        <color theme="1"/>
        <rFont val="Times New Roman"/>
        <family val="1"/>
        <charset val="204"/>
      </rPr>
      <t>ГОСТ 32931-2015</t>
    </r>
  </si>
  <si>
    <t>6906-01-АР, л.42</t>
  </si>
  <si>
    <t>6906-01-АР, л.43</t>
  </si>
  <si>
    <t>первый этаж</t>
  </si>
  <si>
    <r>
      <t xml:space="preserve">Круг
d48х3 мм (т) 
</t>
    </r>
    <r>
      <rPr>
        <sz val="12"/>
        <color theme="1"/>
        <rFont val="Times New Roman"/>
        <family val="1"/>
        <charset val="204"/>
      </rPr>
      <t>ГОСТ 10704-91</t>
    </r>
  </si>
  <si>
    <t>HBM 10х50 (шт)
Tech-KREP</t>
  </si>
  <si>
    <r>
      <t xml:space="preserve">Арматура АII d=14мм (т)
</t>
    </r>
    <r>
      <rPr>
        <sz val="12"/>
        <color theme="1"/>
        <rFont val="Times New Roman"/>
        <family val="1"/>
        <charset val="204"/>
      </rPr>
      <t>ГОСТ 34028-2016</t>
    </r>
  </si>
  <si>
    <t>ОГ-12 для 1 эт.
(Тип 9-16,5-1)</t>
  </si>
  <si>
    <t>воздушная зона</t>
  </si>
  <si>
    <t>лест. клетка</t>
  </si>
  <si>
    <r>
      <t xml:space="preserve">Труба кв. 30х30х3,0 мм (т) 
</t>
    </r>
    <r>
      <rPr>
        <sz val="12"/>
        <color theme="1"/>
        <rFont val="Times New Roman"/>
        <family val="1"/>
        <charset val="204"/>
      </rPr>
      <t>ГОСТ 32931-2015</t>
    </r>
  </si>
  <si>
    <r>
      <t xml:space="preserve">Отвод 90-1-48,3х3
 мм (шт) 
</t>
    </r>
    <r>
      <rPr>
        <sz val="12"/>
        <color theme="1"/>
        <rFont val="Times New Roman"/>
        <family val="1"/>
        <charset val="204"/>
      </rPr>
      <t>ГОСТ 17375-2001</t>
    </r>
  </si>
  <si>
    <t>ОГ-13 и ОГ-14 тип эт.
(Тип 9-16,5-2)</t>
  </si>
  <si>
    <t>ОГ-15.3 тип эт.</t>
  </si>
  <si>
    <t>ОГ-15.2 тип эт.</t>
  </si>
  <si>
    <t>ОГ-15.1 тип эт.</t>
  </si>
  <si>
    <t>КГП-ОГ-01 л.3.1</t>
  </si>
  <si>
    <t>КГП-ОГ-01 л.3.2</t>
  </si>
  <si>
    <t>6906-01-АР, л.44</t>
  </si>
  <si>
    <r>
      <t xml:space="preserve">Пластина,
 t=4 мм (т)
</t>
    </r>
    <r>
      <rPr>
        <sz val="12"/>
        <color theme="1"/>
        <rFont val="Times New Roman"/>
        <family val="1"/>
        <charset val="204"/>
      </rPr>
      <t>ГОСТ 19903-2015</t>
    </r>
  </si>
  <si>
    <t>ЖИЛОЙ ДОМ №6. Ограждения</t>
  </si>
  <si>
    <t>1) Ограждения ОГ-8, ОГ-9, ОГ-10 выполнить из нержавеющей стали. Вид данных ограждений на схемах отображён принципиально. Все размеры уточнить по месту. Изготовление и монтаж данных ограждений выполнить по технологии специализированной организации. Способ крепление ограждений уточнить у фирмы-изготовителя.
2) Защиту мет. элементов от корризии выполнить нанесением в 2 слоя эмали ПФ-115 ГОСТ 6465-76 (RAL 9004, Черный) по грунтовке ГФ-021 ГОСт 25129-2020
3) Все соединения элементов ограждений выполнить сваркой по ГОСТ 5264-80 с последующей зачисткой, электроды для сварки 346А по ГОСТ 9467-75
4) Ограждения выполнить с непрерывным поручнем, изгиб поручня выполнить по радиусу без острых углов
5) При установке ограждений ОГ-4, ОГ-5, ОГ-6 на эвакуационной лестнице обеспечить ширину эвакуационного пути не менее 900мм в свету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</si>
</sst>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164" formatCode="#,##0.000"/>
    <numFmt numFmtId="165" formatCode="#,##0.0000"/>
    <numFmt numFmtId="166" formatCode="#,##0.00000"/>
    <numFmt numFmtId="167" formatCode="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1"/>
      <color rgb="FFFF0000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3">
    <xf numFmtId="0" fontId="0" fillId="0" borderId="0" xfId="0"/>
    <xf numFmtId="0" fontId="0" fillId="0" borderId="0" xfId="0"/>
    <xf numFmtId="0" fontId="0" fillId="0" borderId="0" xfId="0" applyFill="1"/>
    <xf numFmtId="0" fontId="6" fillId="0" borderId="0" xfId="0" applyFont="1"/>
    <xf numFmtId="0" fontId="10" fillId="0" borderId="0" xfId="0" applyFont="1" applyFill="1"/>
    <xf numFmtId="0" fontId="8" fillId="0" borderId="0" xfId="0" applyFont="1" applyFill="1"/>
    <xf numFmtId="0" fontId="7" fillId="0" borderId="0" xfId="0" applyFont="1"/>
    <xf numFmtId="0" fontId="11" fillId="0" borderId="0" xfId="0" applyFont="1" applyFill="1"/>
    <xf numFmtId="0" fontId="8" fillId="0" borderId="0" xfId="0" applyFont="1"/>
    <xf numFmtId="0" fontId="12" fillId="0" borderId="0" xfId="0" applyFont="1"/>
    <xf numFmtId="0" fontId="6" fillId="0" borderId="0" xfId="0" applyFont="1" applyFill="1"/>
    <xf numFmtId="166" fontId="5" fillId="0" borderId="4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top"/>
    </xf>
    <xf numFmtId="0" fontId="7" fillId="0" borderId="0" xfId="0" applyFont="1" applyFill="1"/>
    <xf numFmtId="165" fontId="5" fillId="0" borderId="6" xfId="0" applyNumberFormat="1" applyFont="1" applyFill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center" vertical="center"/>
    </xf>
    <xf numFmtId="166" fontId="5" fillId="0" borderId="5" xfId="0" applyNumberFormat="1" applyFont="1" applyFill="1" applyBorder="1" applyAlignment="1">
      <alignment horizontal="center" vertical="center"/>
    </xf>
    <xf numFmtId="165" fontId="5" fillId="0" borderId="17" xfId="0" applyNumberFormat="1" applyFont="1" applyFill="1" applyBorder="1" applyAlignment="1">
      <alignment horizontal="center" vertical="center"/>
    </xf>
    <xf numFmtId="165" fontId="4" fillId="0" borderId="18" xfId="0" applyNumberFormat="1" applyFont="1" applyFill="1" applyBorder="1" applyAlignment="1">
      <alignment horizontal="center" vertical="center"/>
    </xf>
    <xf numFmtId="165" fontId="5" fillId="0" borderId="13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top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166" fontId="5" fillId="0" borderId="3" xfId="0" applyNumberFormat="1" applyFont="1" applyFill="1" applyBorder="1" applyAlignment="1">
      <alignment horizontal="center" vertical="center"/>
    </xf>
    <xf numFmtId="166" fontId="3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5" fontId="5" fillId="2" borderId="12" xfId="0" applyNumberFormat="1" applyFont="1" applyFill="1" applyBorder="1" applyAlignment="1">
      <alignment horizontal="center" vertical="center"/>
    </xf>
    <xf numFmtId="165" fontId="3" fillId="2" borderId="12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65" fontId="5" fillId="2" borderId="14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165" fontId="2" fillId="2" borderId="14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/>
    </xf>
    <xf numFmtId="164" fontId="13" fillId="0" borderId="1" xfId="0" applyNumberFormat="1" applyFont="1" applyFill="1" applyBorder="1" applyAlignment="1">
      <alignment vertical="center"/>
    </xf>
    <xf numFmtId="4" fontId="15" fillId="3" borderId="5" xfId="0" applyNumberFormat="1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>
      <alignment vertical="center"/>
    </xf>
    <xf numFmtId="167" fontId="13" fillId="0" borderId="1" xfId="0" applyNumberFormat="1" applyFont="1" applyFill="1" applyBorder="1" applyAlignment="1">
      <alignment vertical="center"/>
    </xf>
    <xf numFmtId="165" fontId="3" fillId="0" borderId="4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65" fontId="3" fillId="0" borderId="8" xfId="0" applyNumberFormat="1" applyFont="1" applyFill="1" applyBorder="1" applyAlignment="1">
      <alignment horizontal="center" vertical="center"/>
    </xf>
    <xf numFmtId="165" fontId="5" fillId="0" borderId="19" xfId="0" applyNumberFormat="1" applyFont="1" applyFill="1" applyBorder="1" applyAlignment="1">
      <alignment horizontal="center" vertical="center"/>
    </xf>
    <xf numFmtId="165" fontId="3" fillId="0" borderId="20" xfId="0" applyNumberFormat="1" applyFont="1" applyFill="1" applyBorder="1" applyAlignment="1">
      <alignment horizontal="center" vertical="center"/>
    </xf>
    <xf numFmtId="165" fontId="5" fillId="2" borderId="11" xfId="0" applyNumberFormat="1" applyFont="1" applyFill="1" applyBorder="1" applyAlignment="1">
      <alignment horizontal="center" vertical="center"/>
    </xf>
    <xf numFmtId="165" fontId="3" fillId="2" borderId="16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165" fontId="5" fillId="2" borderId="13" xfId="0" applyNumberFormat="1" applyFont="1" applyFill="1" applyBorder="1" applyAlignment="1">
      <alignment horizontal="center" vertical="center"/>
    </xf>
    <xf numFmtId="165" fontId="3" fillId="2" borderId="15" xfId="0" applyNumberFormat="1" applyFont="1" applyFill="1" applyBorder="1" applyAlignment="1">
      <alignment horizontal="center" vertical="center"/>
    </xf>
    <xf numFmtId="165" fontId="4" fillId="0" borderId="14" xfId="0" applyNumberFormat="1" applyFont="1" applyFill="1" applyBorder="1" applyAlignment="1">
      <alignment horizontal="center" vertical="center"/>
    </xf>
    <xf numFmtId="165" fontId="5" fillId="0" borderId="14" xfId="0" applyNumberFormat="1" applyFont="1" applyFill="1" applyBorder="1" applyAlignment="1">
      <alignment horizontal="center" vertical="center"/>
    </xf>
    <xf numFmtId="166" fontId="5" fillId="0" borderId="14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/>
    </xf>
    <xf numFmtId="165" fontId="4" fillId="0" borderId="1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5" fontId="4" fillId="0" borderId="25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165" fontId="4" fillId="0" borderId="2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2">
    <cellStyle name="Денежный 2" xfId="1" xr:uid="{00000000-0005-0000-0000-000000000000}"/>
    <cellStyle name="Обычный" xfId="0" builtinId="0"/>
  </cellStyles>
  <dxfs count="0"/>
  <tableStyles count="0" defaultTableStyle="TableStyleMedium2" defaultPivotStyle="PivotStyleMedium9"/>
  <colors>
    <mruColors>
      <color rgb="FFD3E2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0"/>
  <sheetViews>
    <sheetView tabSelected="1" topLeftCell="A7" zoomScale="70" zoomScaleNormal="70" zoomScaleSheetLayoutView="85" workbookViewId="0">
      <selection activeCell="U32" sqref="U32"/>
    </sheetView>
  </sheetViews>
  <sheetFormatPr defaultRowHeight="15" x14ac:dyDescent="0.25"/>
  <cols>
    <col min="1" max="1" width="17" customWidth="1"/>
    <col min="2" max="2" width="11.42578125" style="1" customWidth="1"/>
    <col min="3" max="3" width="10.42578125" style="1" customWidth="1"/>
    <col min="4" max="4" width="8" style="1" bestFit="1" customWidth="1"/>
    <col min="5" max="5" width="8.7109375" bestFit="1" customWidth="1"/>
    <col min="6" max="6" width="13.85546875" style="1" customWidth="1"/>
    <col min="7" max="10" width="9.7109375" customWidth="1"/>
    <col min="11" max="12" width="9.7109375" style="1" customWidth="1"/>
    <col min="13" max="14" width="9.7109375" customWidth="1"/>
    <col min="15" max="15" width="9.7109375" style="1" customWidth="1"/>
    <col min="16" max="16" width="10" style="1" customWidth="1"/>
    <col min="17" max="18" width="10.7109375" style="1" customWidth="1"/>
    <col min="19" max="28" width="9.7109375" style="1" customWidth="1"/>
    <col min="29" max="30" width="9.7109375" customWidth="1"/>
    <col min="31" max="31" width="12.7109375" customWidth="1"/>
    <col min="32" max="32" width="22" bestFit="1" customWidth="1"/>
  </cols>
  <sheetData>
    <row r="1" spans="1:32" s="2" customFormat="1" ht="29.25" customHeight="1" x14ac:dyDescent="0.25">
      <c r="Z1" s="14" t="s">
        <v>15</v>
      </c>
      <c r="AB1" s="14"/>
      <c r="AD1" s="14"/>
    </row>
    <row r="2" spans="1:32" s="2" customFormat="1" ht="42.75" customHeight="1" thickBot="1" x14ac:dyDescent="0.3">
      <c r="A2" s="26" t="s">
        <v>52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</row>
    <row r="3" spans="1:32" ht="20.100000000000001" customHeight="1" x14ac:dyDescent="0.25">
      <c r="A3" s="125" t="s">
        <v>2</v>
      </c>
      <c r="B3" s="126"/>
      <c r="C3" s="126"/>
      <c r="D3" s="126"/>
      <c r="E3" s="126"/>
      <c r="F3" s="127"/>
      <c r="G3" s="87" t="s">
        <v>6</v>
      </c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9"/>
      <c r="AE3" s="115" t="s">
        <v>16</v>
      </c>
      <c r="AF3" s="30" t="s">
        <v>17</v>
      </c>
    </row>
    <row r="4" spans="1:32" ht="49.5" customHeight="1" x14ac:dyDescent="0.25">
      <c r="A4" s="128"/>
      <c r="B4" s="78"/>
      <c r="C4" s="78"/>
      <c r="D4" s="78"/>
      <c r="E4" s="78"/>
      <c r="F4" s="129"/>
      <c r="G4" s="90" t="s">
        <v>26</v>
      </c>
      <c r="H4" s="33"/>
      <c r="I4" s="32" t="s">
        <v>42</v>
      </c>
      <c r="J4" s="33"/>
      <c r="K4" s="32" t="s">
        <v>31</v>
      </c>
      <c r="L4" s="33"/>
      <c r="M4" s="32" t="s">
        <v>32</v>
      </c>
      <c r="N4" s="33"/>
      <c r="O4" s="32" t="s">
        <v>36</v>
      </c>
      <c r="P4" s="33"/>
      <c r="Q4" s="32" t="s">
        <v>43</v>
      </c>
      <c r="R4" s="33"/>
      <c r="S4" s="32" t="s">
        <v>27</v>
      </c>
      <c r="T4" s="32"/>
      <c r="U4" s="32" t="s">
        <v>28</v>
      </c>
      <c r="V4" s="32"/>
      <c r="W4" s="32" t="s">
        <v>51</v>
      </c>
      <c r="X4" s="32"/>
      <c r="Y4" s="32" t="s">
        <v>29</v>
      </c>
      <c r="Z4" s="32"/>
      <c r="AA4" s="32" t="s">
        <v>37</v>
      </c>
      <c r="AB4" s="32"/>
      <c r="AC4" s="32" t="s">
        <v>38</v>
      </c>
      <c r="AD4" s="91"/>
      <c r="AE4" s="116"/>
      <c r="AF4" s="109"/>
    </row>
    <row r="5" spans="1:32" ht="20.100000000000001" customHeight="1" x14ac:dyDescent="0.25">
      <c r="A5" s="130" t="s">
        <v>1</v>
      </c>
      <c r="B5" s="34" t="s">
        <v>25</v>
      </c>
      <c r="C5" s="34"/>
      <c r="D5" s="34"/>
      <c r="E5" s="34"/>
      <c r="F5" s="131" t="s">
        <v>24</v>
      </c>
      <c r="G5" s="92" t="s">
        <v>8</v>
      </c>
      <c r="H5" s="33" t="s">
        <v>0</v>
      </c>
      <c r="I5" s="38" t="s">
        <v>8</v>
      </c>
      <c r="J5" s="33" t="s">
        <v>0</v>
      </c>
      <c r="K5" s="38" t="s">
        <v>8</v>
      </c>
      <c r="L5" s="33" t="s">
        <v>0</v>
      </c>
      <c r="M5" s="38" t="s">
        <v>8</v>
      </c>
      <c r="N5" s="33" t="s">
        <v>0</v>
      </c>
      <c r="O5" s="38" t="s">
        <v>8</v>
      </c>
      <c r="P5" s="33" t="s">
        <v>0</v>
      </c>
      <c r="Q5" s="38" t="s">
        <v>8</v>
      </c>
      <c r="R5" s="33" t="s">
        <v>0</v>
      </c>
      <c r="S5" s="38" t="s">
        <v>8</v>
      </c>
      <c r="T5" s="33" t="s">
        <v>0</v>
      </c>
      <c r="U5" s="38" t="s">
        <v>8</v>
      </c>
      <c r="V5" s="33" t="s">
        <v>0</v>
      </c>
      <c r="W5" s="38" t="s">
        <v>8</v>
      </c>
      <c r="X5" s="33" t="s">
        <v>0</v>
      </c>
      <c r="Y5" s="38" t="s">
        <v>8</v>
      </c>
      <c r="Z5" s="33" t="s">
        <v>0</v>
      </c>
      <c r="AA5" s="38" t="s">
        <v>8</v>
      </c>
      <c r="AB5" s="33" t="s">
        <v>0</v>
      </c>
      <c r="AC5" s="38" t="s">
        <v>8</v>
      </c>
      <c r="AD5" s="93" t="s">
        <v>0</v>
      </c>
      <c r="AE5" s="116"/>
      <c r="AF5" s="109"/>
    </row>
    <row r="6" spans="1:32" ht="58.5" customHeight="1" x14ac:dyDescent="0.25">
      <c r="A6" s="130"/>
      <c r="B6" s="31" t="s">
        <v>40</v>
      </c>
      <c r="C6" s="31" t="s">
        <v>41</v>
      </c>
      <c r="D6" s="31" t="s">
        <v>23</v>
      </c>
      <c r="E6" s="31" t="s">
        <v>35</v>
      </c>
      <c r="F6" s="132"/>
      <c r="G6" s="92"/>
      <c r="H6" s="33"/>
      <c r="I6" s="38"/>
      <c r="J6" s="33"/>
      <c r="K6" s="38"/>
      <c r="L6" s="33"/>
      <c r="M6" s="38"/>
      <c r="N6" s="33"/>
      <c r="O6" s="38"/>
      <c r="P6" s="33"/>
      <c r="Q6" s="38"/>
      <c r="R6" s="33"/>
      <c r="S6" s="38"/>
      <c r="T6" s="33"/>
      <c r="U6" s="38"/>
      <c r="V6" s="33"/>
      <c r="W6" s="38"/>
      <c r="X6" s="33"/>
      <c r="Y6" s="38"/>
      <c r="Z6" s="33"/>
      <c r="AA6" s="38"/>
      <c r="AB6" s="33"/>
      <c r="AC6" s="38"/>
      <c r="AD6" s="93"/>
      <c r="AE6" s="116"/>
      <c r="AF6" s="109"/>
    </row>
    <row r="7" spans="1:32" s="2" customFormat="1" ht="19.5" customHeight="1" x14ac:dyDescent="0.25">
      <c r="A7" s="133" t="s">
        <v>18</v>
      </c>
      <c r="B7" s="31"/>
      <c r="C7" s="31"/>
      <c r="D7" s="31">
        <v>1</v>
      </c>
      <c r="E7" s="31"/>
      <c r="F7" s="134">
        <f>4.43*D7</f>
        <v>4.43</v>
      </c>
      <c r="G7" s="16">
        <f>((4.43*3.36)+(0.06*4*3.36))/1000</f>
        <v>1.5691199999999999E-2</v>
      </c>
      <c r="H7" s="36">
        <f>G7*D7</f>
        <v>1.5691199999999999E-2</v>
      </c>
      <c r="I7" s="37"/>
      <c r="J7" s="36"/>
      <c r="K7" s="37"/>
      <c r="L7" s="36"/>
      <c r="M7" s="37"/>
      <c r="N7" s="36"/>
      <c r="O7" s="37"/>
      <c r="P7" s="36"/>
      <c r="Q7" s="37"/>
      <c r="R7" s="36"/>
      <c r="S7" s="35">
        <f>(2*0.05)/1000</f>
        <v>1E-4</v>
      </c>
      <c r="T7" s="36">
        <f>S7*D7</f>
        <v>1E-4</v>
      </c>
      <c r="U7" s="35">
        <f>(1*4*0.56)/1000</f>
        <v>2.2400000000000002E-3</v>
      </c>
      <c r="V7" s="36">
        <f>U7*D7</f>
        <v>2.2400000000000002E-3</v>
      </c>
      <c r="W7" s="37"/>
      <c r="X7" s="36"/>
      <c r="Y7" s="41">
        <f>2</f>
        <v>2</v>
      </c>
      <c r="Z7" s="42">
        <f>Y7*4</f>
        <v>8</v>
      </c>
      <c r="AA7" s="41"/>
      <c r="AB7" s="42"/>
      <c r="AC7" s="37"/>
      <c r="AD7" s="94"/>
      <c r="AE7" s="117">
        <f>H7+J7+L7+N7+P7+T7+V7+X7</f>
        <v>1.8031199999999997E-2</v>
      </c>
      <c r="AF7" s="110" t="s">
        <v>30</v>
      </c>
    </row>
    <row r="8" spans="1:32" s="2" customFormat="1" ht="19.5" customHeight="1" x14ac:dyDescent="0.25">
      <c r="A8" s="133" t="s">
        <v>19</v>
      </c>
      <c r="B8" s="31"/>
      <c r="C8" s="31"/>
      <c r="D8" s="31">
        <v>1</v>
      </c>
      <c r="E8" s="31"/>
      <c r="F8" s="134">
        <f>(0.7+0.22+2+0.11+0.5+0.11+1+0.11+0.5+1.85)*D8</f>
        <v>7.1</v>
      </c>
      <c r="G8" s="16">
        <f>(0.7*1+0.22*1+2*1+0.11*3+0.5*2+1*1+1.85*1+0.585*1+1.94*1+0.95*1+1.66*1+0.13*2+1.05*1+1.15*1+1.355*3+1.24*3+0.46*2)*3.36/1000</f>
        <v>7.8623999999999999E-2</v>
      </c>
      <c r="H8" s="36">
        <f>G8*D8</f>
        <v>7.8623999999999999E-2</v>
      </c>
      <c r="I8" s="37"/>
      <c r="J8" s="36"/>
      <c r="K8" s="37">
        <f>(0.585*1+1.94*1+0.46*2+0.95*1+1.66*1)*1.075/1000</f>
        <v>6.5091249999999993E-3</v>
      </c>
      <c r="L8" s="36">
        <f>K8*D8</f>
        <v>6.5091249999999993E-3</v>
      </c>
      <c r="M8" s="37">
        <f>(0.75*15+0.86*16)*0.605/1000</f>
        <v>1.5131049999999998E-2</v>
      </c>
      <c r="N8" s="36">
        <f>M8*D8</f>
        <v>1.5131049999999998E-2</v>
      </c>
      <c r="O8" s="37"/>
      <c r="P8" s="36"/>
      <c r="Q8" s="37"/>
      <c r="R8" s="36"/>
      <c r="S8" s="35">
        <f>(2*0.04+7*0.04)/1000</f>
        <v>3.6000000000000002E-4</v>
      </c>
      <c r="T8" s="36">
        <f>S8*D8</f>
        <v>3.6000000000000002E-4</v>
      </c>
      <c r="U8" s="35">
        <f>(3*0.09+9*0.02)/1000</f>
        <v>4.4999999999999999E-4</v>
      </c>
      <c r="V8" s="36">
        <f>U8*D8</f>
        <v>4.4999999999999999E-4</v>
      </c>
      <c r="W8" s="37"/>
      <c r="X8" s="36"/>
      <c r="Y8" s="41"/>
      <c r="Z8" s="42"/>
      <c r="AA8" s="41"/>
      <c r="AB8" s="42"/>
      <c r="AC8" s="37"/>
      <c r="AD8" s="94"/>
      <c r="AE8" s="117">
        <f>H8+J8+L8+N8+P8+T8+V8+X8</f>
        <v>0.101074175</v>
      </c>
      <c r="AF8" s="110" t="s">
        <v>33</v>
      </c>
    </row>
    <row r="9" spans="1:32" s="2" customFormat="1" ht="19.5" customHeight="1" x14ac:dyDescent="0.25">
      <c r="A9" s="133" t="s">
        <v>20</v>
      </c>
      <c r="B9" s="31"/>
      <c r="C9" s="31"/>
      <c r="D9" s="31"/>
      <c r="E9" s="31">
        <v>1</v>
      </c>
      <c r="F9" s="134">
        <f>(0.925+1.325)*E9</f>
        <v>2.25</v>
      </c>
      <c r="G9" s="16">
        <f>(1.26*2+1.23*1)*3.36/1000</f>
        <v>1.26E-2</v>
      </c>
      <c r="H9" s="36">
        <f>G9*E9</f>
        <v>1.26E-2</v>
      </c>
      <c r="I9" s="37"/>
      <c r="J9" s="36"/>
      <c r="K9" s="37">
        <f>(0.835*2+1.24*2)*1.075/1000</f>
        <v>4.4612500000000008E-3</v>
      </c>
      <c r="L9" s="36">
        <f>K9*E9</f>
        <v>4.4612500000000008E-3</v>
      </c>
      <c r="M9" s="37">
        <f>(0.86*5+0.75*5)*0.605/1000</f>
        <v>4.8702500000000004E-3</v>
      </c>
      <c r="N9" s="36">
        <f>M9*E9</f>
        <v>4.8702500000000004E-3</v>
      </c>
      <c r="O9" s="37">
        <f>(0.925*1+1.325*1)*3.33/1000</f>
        <v>7.4925E-3</v>
      </c>
      <c r="P9" s="36">
        <f>O9*E9</f>
        <v>7.4925E-3</v>
      </c>
      <c r="Q9" s="37"/>
      <c r="R9" s="36"/>
      <c r="S9" s="35">
        <f>(3*0.04)/1000</f>
        <v>1.1999999999999999E-4</v>
      </c>
      <c r="T9" s="36">
        <f>S9*E9</f>
        <v>1.1999999999999999E-4</v>
      </c>
      <c r="U9" s="35">
        <f>(3*0.09+1*0.28+1*0.24)/1000</f>
        <v>7.9000000000000001E-4</v>
      </c>
      <c r="V9" s="36">
        <f>U9*E9</f>
        <v>7.9000000000000001E-4</v>
      </c>
      <c r="W9" s="37"/>
      <c r="X9" s="36"/>
      <c r="Y9" s="41"/>
      <c r="Z9" s="42"/>
      <c r="AA9" s="41">
        <f>1*1</f>
        <v>1</v>
      </c>
      <c r="AB9" s="42">
        <f>AA9*E9</f>
        <v>1</v>
      </c>
      <c r="AC9" s="37"/>
      <c r="AD9" s="94"/>
      <c r="AE9" s="117">
        <f>H9+J9+L9+N9+P9+T9+V9+X9</f>
        <v>3.0333999999999996E-2</v>
      </c>
      <c r="AF9" s="110" t="s">
        <v>33</v>
      </c>
    </row>
    <row r="10" spans="1:32" s="2" customFormat="1" ht="19.5" customHeight="1" x14ac:dyDescent="0.25">
      <c r="A10" s="133" t="s">
        <v>21</v>
      </c>
      <c r="B10" s="31"/>
      <c r="C10" s="31"/>
      <c r="D10" s="31">
        <v>1</v>
      </c>
      <c r="E10" s="31"/>
      <c r="F10" s="134">
        <f>2.1*D10</f>
        <v>2.1</v>
      </c>
      <c r="G10" s="16">
        <f>(2.1*1+0.06*1*2)*3.36/1000</f>
        <v>7.4592E-3</v>
      </c>
      <c r="H10" s="36">
        <f>D10*F10</f>
        <v>2.1</v>
      </c>
      <c r="I10" s="37"/>
      <c r="J10" s="36"/>
      <c r="K10" s="37"/>
      <c r="L10" s="36"/>
      <c r="M10" s="37"/>
      <c r="N10" s="36"/>
      <c r="O10" s="37"/>
      <c r="P10" s="36"/>
      <c r="Q10" s="37"/>
      <c r="R10" s="36"/>
      <c r="S10" s="35">
        <f>(2*0.04)/1000</f>
        <v>8.0000000000000007E-5</v>
      </c>
      <c r="T10" s="36">
        <f>S10*D10</f>
        <v>8.0000000000000007E-5</v>
      </c>
      <c r="U10" s="35">
        <f>(1*0.56*2)/1000</f>
        <v>1.1200000000000001E-3</v>
      </c>
      <c r="V10" s="36">
        <f>U10*D10</f>
        <v>1.1200000000000001E-3</v>
      </c>
      <c r="W10" s="37"/>
      <c r="X10" s="36"/>
      <c r="Y10" s="41">
        <f>2*2*1</f>
        <v>4</v>
      </c>
      <c r="Z10" s="42">
        <f>Y10*D10</f>
        <v>4</v>
      </c>
      <c r="AA10" s="41"/>
      <c r="AB10" s="42"/>
      <c r="AC10" s="37"/>
      <c r="AD10" s="94"/>
      <c r="AE10" s="117">
        <f>H10+J10+L10+N10+P10+T10+V10+X10</f>
        <v>2.1012</v>
      </c>
      <c r="AF10" s="110" t="s">
        <v>33</v>
      </c>
    </row>
    <row r="11" spans="1:32" s="2" customFormat="1" ht="19.5" customHeight="1" x14ac:dyDescent="0.25">
      <c r="A11" s="133" t="s">
        <v>10</v>
      </c>
      <c r="B11" s="31"/>
      <c r="C11" s="31"/>
      <c r="D11" s="31">
        <v>1</v>
      </c>
      <c r="E11" s="31"/>
      <c r="F11" s="134">
        <f>1.665*D11</f>
        <v>1.665</v>
      </c>
      <c r="G11" s="16">
        <f>(3.95*2+1.665*7)*3.36/1000</f>
        <v>6.5704799999999994E-2</v>
      </c>
      <c r="H11" s="36">
        <f>G11*D11</f>
        <v>6.5704799999999994E-2</v>
      </c>
      <c r="I11" s="37"/>
      <c r="J11" s="36"/>
      <c r="K11" s="37"/>
      <c r="L11" s="36"/>
      <c r="M11" s="37">
        <f>(0.27*2+0.56*2+0.85*2+1.13*2+1.42*2+1.71*2+0.91*6)*0.605/1000</f>
        <v>1.04907E-2</v>
      </c>
      <c r="N11" s="36">
        <f>M11*D11</f>
        <v>1.04907E-2</v>
      </c>
      <c r="O11" s="37"/>
      <c r="P11" s="36"/>
      <c r="Q11" s="37"/>
      <c r="R11" s="36"/>
      <c r="S11" s="35"/>
      <c r="T11" s="36"/>
      <c r="U11" s="35"/>
      <c r="V11" s="36"/>
      <c r="W11" s="37"/>
      <c r="X11" s="36"/>
      <c r="Y11" s="41"/>
      <c r="Z11" s="42"/>
      <c r="AA11" s="41"/>
      <c r="AB11" s="42"/>
      <c r="AC11" s="37"/>
      <c r="AD11" s="94"/>
      <c r="AE11" s="117">
        <f>H11+J11+L11+N11+P11+T11+V11+X11</f>
        <v>7.6195499999999999E-2</v>
      </c>
      <c r="AF11" s="110" t="s">
        <v>34</v>
      </c>
    </row>
    <row r="12" spans="1:32" s="2" customFormat="1" ht="19.5" customHeight="1" thickBot="1" x14ac:dyDescent="0.3">
      <c r="A12" s="135" t="s">
        <v>22</v>
      </c>
      <c r="B12" s="39"/>
      <c r="C12" s="39"/>
      <c r="D12" s="39"/>
      <c r="E12" s="39">
        <v>1</v>
      </c>
      <c r="F12" s="136">
        <f>(0.875+2+0.82)*E12</f>
        <v>3.6949999999999998</v>
      </c>
      <c r="G12" s="95">
        <f>(1.175*4)*3.36/1000</f>
        <v>1.5792E-2</v>
      </c>
      <c r="H12" s="52">
        <f>G12*E12</f>
        <v>1.5792E-2</v>
      </c>
      <c r="I12" s="53"/>
      <c r="J12" s="52"/>
      <c r="K12" s="53">
        <f>(0.76*4+2*2)*1.075/1000</f>
        <v>7.5679999999999992E-3</v>
      </c>
      <c r="L12" s="52">
        <f>K12*E12</f>
        <v>7.5679999999999992E-3</v>
      </c>
      <c r="M12" s="53">
        <f>(0.86*8+0.75*8)*0.605/1000</f>
        <v>7.7923999999999988E-3</v>
      </c>
      <c r="N12" s="52">
        <f>M12*E12</f>
        <v>7.7923999999999988E-3</v>
      </c>
      <c r="O12" s="53">
        <f>(0.875*1+2*1+0.82*1)*3.33/1000</f>
        <v>1.2304349999999999E-2</v>
      </c>
      <c r="P12" s="52">
        <f>O12*E12</f>
        <v>1.2304349999999999E-2</v>
      </c>
      <c r="Q12" s="53"/>
      <c r="R12" s="52"/>
      <c r="S12" s="54">
        <f>(1*0.04)/1000</f>
        <v>4.0000000000000003E-5</v>
      </c>
      <c r="T12" s="55">
        <f>S12*E12</f>
        <v>4.0000000000000003E-5</v>
      </c>
      <c r="U12" s="51">
        <f>(1*0.24)/1000</f>
        <v>2.3999999999999998E-4</v>
      </c>
      <c r="V12" s="52">
        <f>U12*E12</f>
        <v>2.3999999999999998E-4</v>
      </c>
      <c r="W12" s="53"/>
      <c r="X12" s="52"/>
      <c r="Y12" s="56"/>
      <c r="Z12" s="57"/>
      <c r="AA12" s="56">
        <f>1*1</f>
        <v>1</v>
      </c>
      <c r="AB12" s="57">
        <f>AA12*E12</f>
        <v>1</v>
      </c>
      <c r="AC12" s="53"/>
      <c r="AD12" s="96"/>
      <c r="AE12" s="117">
        <f>H12+J12+L12+N12+P12+T12+V12+X12</f>
        <v>4.3736749999999991E-2</v>
      </c>
      <c r="AF12" s="111" t="s">
        <v>34</v>
      </c>
    </row>
    <row r="13" spans="1:32" s="2" customFormat="1" ht="19.5" customHeight="1" x14ac:dyDescent="0.25">
      <c r="A13" s="63" t="s">
        <v>12</v>
      </c>
      <c r="B13" s="64"/>
      <c r="C13" s="64"/>
      <c r="D13" s="64"/>
      <c r="E13" s="64">
        <v>1</v>
      </c>
      <c r="F13" s="137">
        <f>(0.42+0.6+0.6+0.43)*E13</f>
        <v>2.0500000000000003</v>
      </c>
      <c r="G13" s="97"/>
      <c r="H13" s="66"/>
      <c r="I13" s="67"/>
      <c r="J13" s="66"/>
      <c r="K13" s="67"/>
      <c r="L13" s="66"/>
      <c r="M13" s="67"/>
      <c r="N13" s="66"/>
      <c r="O13" s="67"/>
      <c r="P13" s="66"/>
      <c r="Q13" s="67"/>
      <c r="R13" s="66"/>
      <c r="S13" s="65"/>
      <c r="T13" s="66"/>
      <c r="U13" s="65"/>
      <c r="V13" s="66"/>
      <c r="W13" s="67"/>
      <c r="X13" s="66"/>
      <c r="Y13" s="68"/>
      <c r="Z13" s="69"/>
      <c r="AA13" s="68"/>
      <c r="AB13" s="69"/>
      <c r="AC13" s="67"/>
      <c r="AD13" s="98"/>
      <c r="AE13" s="118"/>
      <c r="AF13" s="112" t="s">
        <v>34</v>
      </c>
    </row>
    <row r="14" spans="1:32" s="2" customFormat="1" ht="19.5" customHeight="1" x14ac:dyDescent="0.25">
      <c r="A14" s="70" t="s">
        <v>13</v>
      </c>
      <c r="B14" s="45"/>
      <c r="C14" s="45"/>
      <c r="D14" s="45"/>
      <c r="E14" s="45">
        <v>1</v>
      </c>
      <c r="F14" s="138">
        <f>(0.42+0.6+0.6+0.43)*E14</f>
        <v>2.0500000000000003</v>
      </c>
      <c r="G14" s="99"/>
      <c r="H14" s="47"/>
      <c r="I14" s="48"/>
      <c r="J14" s="47"/>
      <c r="K14" s="48"/>
      <c r="L14" s="47"/>
      <c r="M14" s="48"/>
      <c r="N14" s="47"/>
      <c r="O14" s="48"/>
      <c r="P14" s="47"/>
      <c r="Q14" s="48"/>
      <c r="R14" s="47"/>
      <c r="S14" s="46"/>
      <c r="T14" s="47"/>
      <c r="U14" s="46"/>
      <c r="V14" s="47"/>
      <c r="W14" s="48"/>
      <c r="X14" s="47"/>
      <c r="Y14" s="49"/>
      <c r="Z14" s="50"/>
      <c r="AA14" s="49"/>
      <c r="AB14" s="50"/>
      <c r="AC14" s="48"/>
      <c r="AD14" s="100"/>
      <c r="AE14" s="119"/>
      <c r="AF14" s="113" t="s">
        <v>34</v>
      </c>
    </row>
    <row r="15" spans="1:32" s="2" customFormat="1" ht="19.5" customHeight="1" thickBot="1" x14ac:dyDescent="0.3">
      <c r="A15" s="71" t="s">
        <v>11</v>
      </c>
      <c r="B15" s="72"/>
      <c r="C15" s="72"/>
      <c r="D15" s="72"/>
      <c r="E15" s="72">
        <v>1</v>
      </c>
      <c r="F15" s="139">
        <f>1.3+0.8+0.8+0.4+0.405</f>
        <v>3.7050000000000001</v>
      </c>
      <c r="G15" s="101"/>
      <c r="H15" s="74"/>
      <c r="I15" s="75"/>
      <c r="J15" s="74"/>
      <c r="K15" s="75"/>
      <c r="L15" s="74"/>
      <c r="M15" s="75"/>
      <c r="N15" s="74"/>
      <c r="O15" s="75"/>
      <c r="P15" s="74"/>
      <c r="Q15" s="75"/>
      <c r="R15" s="74"/>
      <c r="S15" s="73"/>
      <c r="T15" s="74"/>
      <c r="U15" s="73"/>
      <c r="V15" s="74"/>
      <c r="W15" s="75"/>
      <c r="X15" s="74"/>
      <c r="Y15" s="76"/>
      <c r="Z15" s="77"/>
      <c r="AA15" s="76"/>
      <c r="AB15" s="77"/>
      <c r="AC15" s="75"/>
      <c r="AD15" s="102"/>
      <c r="AE15" s="120"/>
      <c r="AF15" s="114" t="s">
        <v>34</v>
      </c>
    </row>
    <row r="16" spans="1:32" s="2" customFormat="1" ht="20.100000000000001" customHeight="1" x14ac:dyDescent="0.25">
      <c r="A16" s="22" t="s">
        <v>14</v>
      </c>
      <c r="B16" s="58">
        <v>14</v>
      </c>
      <c r="C16" s="58"/>
      <c r="D16" s="58"/>
      <c r="E16" s="58"/>
      <c r="F16" s="140">
        <f>6.66*B16</f>
        <v>93.240000000000009</v>
      </c>
      <c r="G16" s="19">
        <f>(6.66*1+1.26*8+0.06*1*8)*3.36/1000</f>
        <v>5.7859200000000006E-2</v>
      </c>
      <c r="H16" s="60">
        <f>G16*B16</f>
        <v>0.8100288000000001</v>
      </c>
      <c r="I16" s="59"/>
      <c r="J16" s="60"/>
      <c r="K16" s="59">
        <f>(0.95*2+0.87*5)*1.075/1000</f>
        <v>6.7187499999999999E-3</v>
      </c>
      <c r="L16" s="60">
        <f>B16*K16</f>
        <v>9.4062499999999993E-2</v>
      </c>
      <c r="M16" s="59">
        <f>(1.085*58)*0.605/1000</f>
        <v>3.8072649999999993E-2</v>
      </c>
      <c r="N16" s="60">
        <f>M16*$B16</f>
        <v>0.53301709999999991</v>
      </c>
      <c r="O16" s="59"/>
      <c r="P16" s="60"/>
      <c r="Q16" s="59"/>
      <c r="R16" s="60"/>
      <c r="S16" s="59"/>
      <c r="T16" s="60"/>
      <c r="U16" s="59">
        <f>(1*0.56*8)/1000</f>
        <v>4.4800000000000005E-3</v>
      </c>
      <c r="V16" s="60">
        <f>U16*B16</f>
        <v>6.2720000000000012E-2</v>
      </c>
      <c r="W16" s="59"/>
      <c r="X16" s="60"/>
      <c r="Y16" s="61">
        <f>2*8</f>
        <v>16</v>
      </c>
      <c r="Z16" s="62">
        <f>Y16*B16</f>
        <v>224</v>
      </c>
      <c r="AA16" s="61"/>
      <c r="AB16" s="62"/>
      <c r="AC16" s="59">
        <f>(0.35*2)*1.58/1000</f>
        <v>1.1059999999999998E-3</v>
      </c>
      <c r="AD16" s="20">
        <f>AC16*B16</f>
        <v>1.5483999999999998E-2</v>
      </c>
      <c r="AE16" s="117">
        <f>H16+J16+L16+N16+P16+T16+V16+X16</f>
        <v>1.4998284000000002</v>
      </c>
      <c r="AF16" s="110" t="s">
        <v>33</v>
      </c>
    </row>
    <row r="17" spans="1:32" s="2" customFormat="1" ht="43.5" customHeight="1" x14ac:dyDescent="0.25">
      <c r="A17" s="13" t="s">
        <v>39</v>
      </c>
      <c r="B17" s="23"/>
      <c r="C17" s="23">
        <v>1</v>
      </c>
      <c r="D17" s="23"/>
      <c r="E17" s="23"/>
      <c r="F17" s="24">
        <f>(0.057+0.193+0.057+3.1+0.135+0.057+0.057+0.05)*C17</f>
        <v>3.7059999999999995</v>
      </c>
      <c r="G17" s="16"/>
      <c r="H17" s="40"/>
      <c r="I17" s="35">
        <f>(0.88*4)*2.42/1000</f>
        <v>8.5183999999999989E-3</v>
      </c>
      <c r="J17" s="40">
        <f>I17*C17</f>
        <v>8.5183999999999989E-3</v>
      </c>
      <c r="K17" s="35">
        <f>(0.98*6+0.17*2+0.62*1+0.26*2)*1.075/1000</f>
        <v>7.9119999999999989E-3</v>
      </c>
      <c r="L17" s="40">
        <f>K17*C17</f>
        <v>7.9119999999999989E-3</v>
      </c>
      <c r="M17" s="35">
        <f>(0.58*15+0.46*1)*0.605/1000</f>
        <v>5.5418000000000004E-3</v>
      </c>
      <c r="N17" s="40">
        <f>M17*C17</f>
        <v>5.5418000000000004E-3</v>
      </c>
      <c r="O17" s="35">
        <f>(3.1*1+0.193*1+0.135*1+0.05*1)*3.33/1000</f>
        <v>1.158174E-2</v>
      </c>
      <c r="P17" s="40">
        <f>O17*C17</f>
        <v>1.158174E-2</v>
      </c>
      <c r="Q17" s="44">
        <f>4</f>
        <v>4</v>
      </c>
      <c r="R17" s="44">
        <f>Q17*C17</f>
        <v>4</v>
      </c>
      <c r="S17" s="35"/>
      <c r="T17" s="40"/>
      <c r="U17" s="35"/>
      <c r="V17" s="40"/>
      <c r="W17" s="35">
        <f>(1*0.38*4)/1000</f>
        <v>1.5200000000000001E-3</v>
      </c>
      <c r="X17" s="40">
        <f>W17*C17</f>
        <v>1.5200000000000001E-3</v>
      </c>
      <c r="Y17" s="43">
        <f>4*4</f>
        <v>16</v>
      </c>
      <c r="Z17" s="44">
        <f>Y17*C17</f>
        <v>16</v>
      </c>
      <c r="AA17" s="43"/>
      <c r="AB17" s="44"/>
      <c r="AC17" s="35"/>
      <c r="AD17" s="17"/>
      <c r="AE17" s="117">
        <f>H17+J17+L17+N17+P17+T17+V17+X17</f>
        <v>3.5073939999999998E-2</v>
      </c>
      <c r="AF17" s="18" t="s">
        <v>48</v>
      </c>
    </row>
    <row r="18" spans="1:32" s="2" customFormat="1" ht="58.5" customHeight="1" x14ac:dyDescent="0.25">
      <c r="A18" s="13" t="s">
        <v>44</v>
      </c>
      <c r="B18" s="23"/>
      <c r="C18" s="23">
        <v>25</v>
      </c>
      <c r="D18" s="23"/>
      <c r="E18" s="23"/>
      <c r="F18" s="24">
        <f>(3.24+0.057+0.195+0.057)*C18</f>
        <v>88.724999999999994</v>
      </c>
      <c r="G18" s="16"/>
      <c r="H18" s="40"/>
      <c r="I18" s="35">
        <f>(0.88*4)*2.42/1000</f>
        <v>8.5183999999999989E-3</v>
      </c>
      <c r="J18" s="40">
        <f>I18*C18</f>
        <v>0.21295999999999998</v>
      </c>
      <c r="K18" s="35">
        <f>(0.98*6+0.17*4+0.62*2+0.26*2)*1.075/1000</f>
        <v>8.9439999999999988E-3</v>
      </c>
      <c r="L18" s="40">
        <f>K18*C18</f>
        <v>0.22359999999999997</v>
      </c>
      <c r="M18" s="35">
        <f>(0.58*15+0.46*1)*0.605/1000</f>
        <v>5.5418000000000004E-3</v>
      </c>
      <c r="N18" s="40">
        <f>M18*C18</f>
        <v>0.138545</v>
      </c>
      <c r="O18" s="35">
        <f>(3.24*1+0.195*1)*3.33/1000</f>
        <v>1.143855E-2</v>
      </c>
      <c r="P18" s="40">
        <f>O18*C18</f>
        <v>0.28596375000000002</v>
      </c>
      <c r="Q18" s="44">
        <f>2</f>
        <v>2</v>
      </c>
      <c r="R18" s="44">
        <f>Q18*C18</f>
        <v>50</v>
      </c>
      <c r="S18" s="35"/>
      <c r="T18" s="40"/>
      <c r="U18" s="35"/>
      <c r="V18" s="40"/>
      <c r="W18" s="35">
        <f>(1*0.38*4)/1000</f>
        <v>1.5200000000000001E-3</v>
      </c>
      <c r="X18" s="40">
        <f>W18*C18</f>
        <v>3.7999999999999999E-2</v>
      </c>
      <c r="Y18" s="43">
        <f>4*4</f>
        <v>16</v>
      </c>
      <c r="Z18" s="44">
        <f>Y18*C18</f>
        <v>400</v>
      </c>
      <c r="AA18" s="43"/>
      <c r="AB18" s="44"/>
      <c r="AC18" s="35"/>
      <c r="AD18" s="17"/>
      <c r="AE18" s="117">
        <f>H18+J18+L18+N18+P18+T18+V18+X18</f>
        <v>0.89906875000000008</v>
      </c>
      <c r="AF18" s="18" t="s">
        <v>49</v>
      </c>
    </row>
    <row r="19" spans="1:32" s="2" customFormat="1" ht="26.25" customHeight="1" x14ac:dyDescent="0.25">
      <c r="A19" s="13" t="s">
        <v>45</v>
      </c>
      <c r="B19" s="23"/>
      <c r="C19" s="23">
        <v>1</v>
      </c>
      <c r="D19" s="23"/>
      <c r="E19" s="23"/>
      <c r="F19" s="24">
        <f>(0.45+2.8+0.057+0.195+0.057)*C19</f>
        <v>3.5589999999999997</v>
      </c>
      <c r="G19" s="16"/>
      <c r="H19" s="40"/>
      <c r="I19" s="35">
        <f>(0.88*4)*2.42/1000</f>
        <v>8.5183999999999989E-3</v>
      </c>
      <c r="J19" s="40">
        <f>I19*C19</f>
        <v>8.5183999999999989E-3</v>
      </c>
      <c r="K19" s="35">
        <f>(0.98*4+0.645*2+0.445*2+0.17*2+0.62*20.26*2)*1.075/1000</f>
        <v>3.3929580000000001E-2</v>
      </c>
      <c r="L19" s="40">
        <f>K19*C19</f>
        <v>3.3929580000000001E-2</v>
      </c>
      <c r="M19" s="35">
        <f>(0.58*15+0.46*1)*0.605/1000</f>
        <v>5.5418000000000004E-3</v>
      </c>
      <c r="N19" s="40">
        <f>M19*C19</f>
        <v>5.5418000000000004E-3</v>
      </c>
      <c r="O19" s="35">
        <f>(2.8*1+0.195*1+0.45*1)*3.33/1000</f>
        <v>1.147185E-2</v>
      </c>
      <c r="P19" s="40">
        <f>O19*C19</f>
        <v>1.147185E-2</v>
      </c>
      <c r="Q19" s="44">
        <f>2</f>
        <v>2</v>
      </c>
      <c r="R19" s="44">
        <f>Q19*C19</f>
        <v>2</v>
      </c>
      <c r="S19" s="35"/>
      <c r="T19" s="40"/>
      <c r="U19" s="35"/>
      <c r="V19" s="40"/>
      <c r="W19" s="35">
        <f>(1*0.38*4)/1000</f>
        <v>1.5200000000000001E-3</v>
      </c>
      <c r="X19" s="40">
        <f>W19*C19</f>
        <v>1.5200000000000001E-3</v>
      </c>
      <c r="Y19" s="43">
        <f>4*4</f>
        <v>16</v>
      </c>
      <c r="Z19" s="44">
        <f>Y19*C19</f>
        <v>16</v>
      </c>
      <c r="AA19" s="43"/>
      <c r="AB19" s="44"/>
      <c r="AC19" s="35"/>
      <c r="AD19" s="17"/>
      <c r="AE19" s="117">
        <f>H19+J19+L19+N19+P19+T19+V19+X19</f>
        <v>6.0981629999999995E-2</v>
      </c>
      <c r="AF19" s="110" t="s">
        <v>50</v>
      </c>
    </row>
    <row r="20" spans="1:32" s="2" customFormat="1" ht="26.25" customHeight="1" x14ac:dyDescent="0.25">
      <c r="A20" s="13" t="s">
        <v>46</v>
      </c>
      <c r="B20" s="23"/>
      <c r="C20" s="23">
        <v>1</v>
      </c>
      <c r="D20" s="23"/>
      <c r="E20" s="23"/>
      <c r="F20" s="24">
        <f>(2.9+0.057+0.195+0.057)*C20</f>
        <v>3.2089999999999996</v>
      </c>
      <c r="G20" s="16"/>
      <c r="H20" s="40"/>
      <c r="I20" s="35">
        <f>(0.88*4)*2.42/1000</f>
        <v>8.5183999999999989E-3</v>
      </c>
      <c r="J20" s="40">
        <f>I20*C20</f>
        <v>8.5183999999999989E-3</v>
      </c>
      <c r="K20" s="35">
        <f>(0.98*4+0.645*2+0.17*4+0.62*2+0.26*2)*1.075/1000</f>
        <v>8.2237500000000002E-3</v>
      </c>
      <c r="L20" s="40">
        <f>K20*C20</f>
        <v>8.2237500000000002E-3</v>
      </c>
      <c r="M20" s="35">
        <f>(0.58*13+0.46*1)*0.605/1000</f>
        <v>4.8399999999999988E-3</v>
      </c>
      <c r="N20" s="40">
        <f>M20*C20</f>
        <v>4.8399999999999988E-3</v>
      </c>
      <c r="O20" s="35">
        <f>(2.9*1+0.195*1)*3.33/1000</f>
        <v>1.0306350000000001E-2</v>
      </c>
      <c r="P20" s="40">
        <f>O20*C20</f>
        <v>1.0306350000000001E-2</v>
      </c>
      <c r="Q20" s="44">
        <f>2</f>
        <v>2</v>
      </c>
      <c r="R20" s="44">
        <f>Q20*C20</f>
        <v>2</v>
      </c>
      <c r="S20" s="35"/>
      <c r="T20" s="40"/>
      <c r="U20" s="35"/>
      <c r="V20" s="40"/>
      <c r="W20" s="35">
        <f>(1*0.38*4)/1000</f>
        <v>1.5200000000000001E-3</v>
      </c>
      <c r="X20" s="40">
        <f>W20*C20</f>
        <v>1.5200000000000001E-3</v>
      </c>
      <c r="Y20" s="43">
        <f>4*4</f>
        <v>16</v>
      </c>
      <c r="Z20" s="44">
        <f>Y20*C20</f>
        <v>16</v>
      </c>
      <c r="AA20" s="43"/>
      <c r="AB20" s="44"/>
      <c r="AC20" s="35"/>
      <c r="AD20" s="17"/>
      <c r="AE20" s="117">
        <f>H20+J20+L20+N20+P20+T20+V20+X20</f>
        <v>3.3408499999999994E-2</v>
      </c>
      <c r="AF20" s="110" t="s">
        <v>50</v>
      </c>
    </row>
    <row r="21" spans="1:32" s="2" customFormat="1" ht="26.25" customHeight="1" x14ac:dyDescent="0.25">
      <c r="A21" s="13" t="s">
        <v>47</v>
      </c>
      <c r="B21" s="23"/>
      <c r="C21" s="23">
        <v>1</v>
      </c>
      <c r="D21" s="23"/>
      <c r="E21" s="23"/>
      <c r="F21" s="24">
        <f>(2.15+1.85)*C21</f>
        <v>4</v>
      </c>
      <c r="G21" s="16"/>
      <c r="H21" s="40"/>
      <c r="I21" s="35">
        <f>(0.93*5)*2.42/1000</f>
        <v>1.1253000000000001E-2</v>
      </c>
      <c r="J21" s="40">
        <f>I21*C21</f>
        <v>1.1253000000000001E-2</v>
      </c>
      <c r="K21" s="35">
        <f>(0.98*4+0.87*40.17*2+0.62*1)*1.075/1000</f>
        <v>8.0018485000000014E-2</v>
      </c>
      <c r="L21" s="40">
        <f>K21*C21</f>
        <v>8.0018485000000014E-2</v>
      </c>
      <c r="M21" s="35">
        <f>(0.58*20)*0.605/1000</f>
        <v>7.0179999999999999E-3</v>
      </c>
      <c r="N21" s="40">
        <f>M21*C21</f>
        <v>7.0179999999999999E-3</v>
      </c>
      <c r="O21" s="35">
        <f>(2.15*11.85*1)*3.33/1000</f>
        <v>8.4840075000000001E-2</v>
      </c>
      <c r="P21" s="40">
        <f>O21*C21</f>
        <v>8.4840075000000001E-2</v>
      </c>
      <c r="Q21" s="40"/>
      <c r="R21" s="40"/>
      <c r="S21" s="35">
        <f>(1*0.04+5*0.02)/1000</f>
        <v>1.4000000000000001E-4</v>
      </c>
      <c r="T21" s="40">
        <f>S21*C21</f>
        <v>1.4000000000000001E-4</v>
      </c>
      <c r="U21" s="35"/>
      <c r="V21" s="40"/>
      <c r="W21" s="35"/>
      <c r="X21" s="40"/>
      <c r="Y21" s="43"/>
      <c r="Z21" s="44"/>
      <c r="AA21" s="43"/>
      <c r="AB21" s="44"/>
      <c r="AC21" s="35">
        <f>(1*0.24)/1000</f>
        <v>2.3999999999999998E-4</v>
      </c>
      <c r="AD21" s="17">
        <f>AC21*C21</f>
        <v>2.3999999999999998E-4</v>
      </c>
      <c r="AE21" s="117">
        <f>H21+J21+L21+N21+P21+T21+V21+X21</f>
        <v>0.18326956000000003</v>
      </c>
      <c r="AF21" s="110" t="s">
        <v>50</v>
      </c>
    </row>
    <row r="22" spans="1:32" s="2" customFormat="1" ht="26.25" customHeight="1" x14ac:dyDescent="0.25">
      <c r="A22" s="13" t="s">
        <v>4</v>
      </c>
      <c r="B22" s="23"/>
      <c r="C22" s="23">
        <v>2</v>
      </c>
      <c r="D22" s="23"/>
      <c r="E22" s="23"/>
      <c r="F22" s="24">
        <f>1.5*C22</f>
        <v>3</v>
      </c>
      <c r="G22" s="16"/>
      <c r="H22" s="40"/>
      <c r="I22" s="35">
        <f>(1.5*1)*2.42/1000</f>
        <v>3.63E-3</v>
      </c>
      <c r="J22" s="40">
        <f>I22*C22</f>
        <v>7.26E-3</v>
      </c>
      <c r="K22" s="35">
        <f>(1.045*2+1.035*1.34*1+0.06*4)*1.075/1000</f>
        <v>3.9956674999999994E-3</v>
      </c>
      <c r="L22" s="40">
        <f>K22*C22</f>
        <v>7.9913349999999987E-3</v>
      </c>
      <c r="M22" s="35">
        <f>(1.015*8)*0.605/1000</f>
        <v>4.9125999999999996E-3</v>
      </c>
      <c r="N22" s="40">
        <f>M22*C22</f>
        <v>9.8251999999999992E-3</v>
      </c>
      <c r="O22" s="35"/>
      <c r="P22" s="40"/>
      <c r="Q22" s="40"/>
      <c r="R22" s="40"/>
      <c r="S22" s="25">
        <f>(2*0.02)/1000</f>
        <v>4.0000000000000003E-5</v>
      </c>
      <c r="T22" s="40">
        <f>S22*C22</f>
        <v>8.0000000000000007E-5</v>
      </c>
      <c r="U22" s="35"/>
      <c r="V22" s="40"/>
      <c r="W22" s="35">
        <f>(4*0.37)/1000</f>
        <v>1.48E-3</v>
      </c>
      <c r="X22" s="40">
        <f>W22*C22</f>
        <v>2.96E-3</v>
      </c>
      <c r="Y22" s="43">
        <f>8</f>
        <v>8</v>
      </c>
      <c r="Z22" s="44">
        <f>Y22*C22</f>
        <v>16</v>
      </c>
      <c r="AA22" s="43"/>
      <c r="AB22" s="44"/>
      <c r="AC22" s="35"/>
      <c r="AD22" s="17"/>
      <c r="AE22" s="117">
        <f>H22+J22+L22+N22+P22+T22+V22+X22</f>
        <v>2.8116534999999998E-2</v>
      </c>
      <c r="AF22" s="110" t="s">
        <v>50</v>
      </c>
    </row>
    <row r="23" spans="1:32" s="2" customFormat="1" ht="26.25" customHeight="1" thickBot="1" x14ac:dyDescent="0.3">
      <c r="A23" s="12" t="s">
        <v>5</v>
      </c>
      <c r="B23" s="141"/>
      <c r="C23" s="141">
        <v>1</v>
      </c>
      <c r="D23" s="141"/>
      <c r="E23" s="141"/>
      <c r="F23" s="142">
        <f>(1.15+1.55+0.15)*C23</f>
        <v>2.85</v>
      </c>
      <c r="G23" s="21"/>
      <c r="H23" s="103"/>
      <c r="I23" s="104">
        <f>(0.91*4)*2.42/1000</f>
        <v>8.8088000000000003E-3</v>
      </c>
      <c r="J23" s="103">
        <f>I23*C23</f>
        <v>8.8088000000000003E-3</v>
      </c>
      <c r="K23" s="104">
        <f>(0.62*4+1.02*2)*1.075/1000</f>
        <v>4.8589999999999987E-3</v>
      </c>
      <c r="L23" s="103">
        <f>K23*C23</f>
        <v>4.8589999999999987E-3</v>
      </c>
      <c r="M23" s="104">
        <f>(0.585*12)*0.605/1000</f>
        <v>4.2470999999999993E-3</v>
      </c>
      <c r="N23" s="103">
        <f>M23*C23</f>
        <v>4.2470999999999993E-3</v>
      </c>
      <c r="O23" s="104">
        <f>(1.55*1+1.15*10.15*1)*3.33/1000</f>
        <v>4.4030925000000005E-2</v>
      </c>
      <c r="P23" s="103">
        <f>O23*C23</f>
        <v>4.4030925000000005E-2</v>
      </c>
      <c r="Q23" s="103"/>
      <c r="R23" s="103"/>
      <c r="S23" s="105">
        <f>(4*0.02+2*0.04)/1000</f>
        <v>1.6000000000000001E-4</v>
      </c>
      <c r="T23" s="103">
        <f>S23*C23</f>
        <v>1.6000000000000001E-4</v>
      </c>
      <c r="U23" s="104"/>
      <c r="V23" s="103"/>
      <c r="W23" s="104"/>
      <c r="X23" s="103"/>
      <c r="Y23" s="106"/>
      <c r="Z23" s="107"/>
      <c r="AA23" s="106"/>
      <c r="AB23" s="107"/>
      <c r="AC23" s="104">
        <f>(1*0.24)/1000</f>
        <v>2.3999999999999998E-4</v>
      </c>
      <c r="AD23" s="108">
        <f>AC23*C23</f>
        <v>2.3999999999999998E-4</v>
      </c>
      <c r="AE23" s="121">
        <f>H23+J23+L23+N23+P23+T23+V23+X23</f>
        <v>6.2105825000000003E-2</v>
      </c>
      <c r="AF23" s="110" t="s">
        <v>50</v>
      </c>
    </row>
    <row r="24" spans="1:32" s="2" customFormat="1" ht="20.100000000000001" customHeight="1" x14ac:dyDescent="0.25">
      <c r="A24" s="122" t="s">
        <v>3</v>
      </c>
      <c r="B24" s="123">
        <f>SUM(B7:B23)</f>
        <v>14</v>
      </c>
      <c r="C24" s="123">
        <f>SUM(C7:C23)</f>
        <v>32</v>
      </c>
      <c r="D24" s="123">
        <f>SUM(D7:D23)</f>
        <v>4</v>
      </c>
      <c r="E24" s="123">
        <f>SUM(E7:E23)</f>
        <v>5</v>
      </c>
      <c r="F24" s="124">
        <f>SUM(F7:F23)-F13-F14-F15</f>
        <v>223.52899999999997</v>
      </c>
      <c r="G24" s="85"/>
      <c r="H24" s="85">
        <f>SUM(H7:H23)</f>
        <v>3.0984407999999997</v>
      </c>
      <c r="I24" s="85"/>
      <c r="J24" s="85">
        <f>SUM(J7:J23)</f>
        <v>0.26583700000000005</v>
      </c>
      <c r="K24" s="85"/>
      <c r="L24" s="85">
        <f>SUM(L7:L23)</f>
        <v>0.47913502499999999</v>
      </c>
      <c r="M24" s="85"/>
      <c r="N24" s="85">
        <f>SUM(N7:N23)</f>
        <v>0.74686039999999987</v>
      </c>
      <c r="O24" s="85"/>
      <c r="P24" s="85">
        <f>SUM(P7:P23)</f>
        <v>0.46799154000000004</v>
      </c>
      <c r="Q24" s="85"/>
      <c r="R24" s="86">
        <f>SUM(R7:R23)</f>
        <v>58</v>
      </c>
      <c r="S24" s="85"/>
      <c r="T24" s="85">
        <f>SUM(T7:T23)</f>
        <v>1.08E-3</v>
      </c>
      <c r="U24" s="85"/>
      <c r="V24" s="85">
        <f>SUM(V7:V23)</f>
        <v>6.7560000000000009E-2</v>
      </c>
      <c r="W24" s="85"/>
      <c r="X24" s="85">
        <f>SUM(X7:X23)</f>
        <v>4.5519999999999998E-2</v>
      </c>
      <c r="Y24" s="86"/>
      <c r="Z24" s="86">
        <f>SUM(Z7:Z23)</f>
        <v>700</v>
      </c>
      <c r="AA24" s="86"/>
      <c r="AB24" s="86">
        <f>SUM(AB7:AB23)</f>
        <v>2</v>
      </c>
      <c r="AC24" s="85"/>
      <c r="AD24" s="85">
        <f>SUM(AD7:AD23)</f>
        <v>1.5963999999999999E-2</v>
      </c>
      <c r="AE24" s="18"/>
      <c r="AF24" s="11"/>
    </row>
    <row r="25" spans="1:32" s="10" customFormat="1" ht="20.100000000000001" customHeight="1" x14ac:dyDescent="0.25">
      <c r="A25" s="79" t="s">
        <v>7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84">
        <f>(0.36*R24)/1000</f>
        <v>2.0879999999999999E-2</v>
      </c>
      <c r="S25" s="79"/>
      <c r="T25" s="79"/>
      <c r="U25" s="79"/>
      <c r="V25" s="79"/>
      <c r="W25" s="79"/>
      <c r="X25" s="79"/>
      <c r="Y25" s="80"/>
      <c r="Z25" s="80"/>
      <c r="AA25" s="80"/>
      <c r="AB25" s="80"/>
      <c r="AC25" s="81"/>
      <c r="AD25" s="79"/>
      <c r="AE25" s="82">
        <f>H24+J24+L24+N24+P24+T24+V24+X24+R25</f>
        <v>5.1933047649999997</v>
      </c>
      <c r="AF25" s="83" t="s">
        <v>9</v>
      </c>
    </row>
    <row r="26" spans="1:32" s="2" customFormat="1" x14ac:dyDescent="0.25"/>
    <row r="27" spans="1:32" s="15" customForma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5"/>
      <c r="Z27" s="5"/>
      <c r="AA27" s="5"/>
      <c r="AB27" s="5"/>
      <c r="AC27" s="5"/>
      <c r="AD27" s="5"/>
      <c r="AE27" s="5"/>
    </row>
    <row r="28" spans="1:32" s="15" customFormat="1" ht="117" customHeight="1" x14ac:dyDescent="0.25">
      <c r="A28" s="28" t="s">
        <v>53</v>
      </c>
      <c r="B28" s="28"/>
      <c r="C28" s="28"/>
      <c r="D28" s="28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7"/>
    </row>
    <row r="29" spans="1:32" s="6" customFormat="1" x14ac:dyDescent="0.25">
      <c r="A29" s="8"/>
      <c r="B29" s="8"/>
      <c r="C29" s="8"/>
      <c r="D29" s="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</sheetData>
  <mergeCells count="45">
    <mergeCell ref="AA4:AB4"/>
    <mergeCell ref="AA5:AA6"/>
    <mergeCell ref="AB5:AB6"/>
    <mergeCell ref="A3:F4"/>
    <mergeCell ref="Y4:Z4"/>
    <mergeCell ref="Y5:Y6"/>
    <mergeCell ref="Z5:Z6"/>
    <mergeCell ref="O4:P4"/>
    <mergeCell ref="O5:O6"/>
    <mergeCell ref="P5:P6"/>
    <mergeCell ref="AE3:AE6"/>
    <mergeCell ref="AF3:AF6"/>
    <mergeCell ref="B5:E5"/>
    <mergeCell ref="K4:L4"/>
    <mergeCell ref="K5:K6"/>
    <mergeCell ref="L5:L6"/>
    <mergeCell ref="Q4:R4"/>
    <mergeCell ref="Q5:Q6"/>
    <mergeCell ref="R5:R6"/>
    <mergeCell ref="W4:X4"/>
    <mergeCell ref="I4:J4"/>
    <mergeCell ref="G4:H4"/>
    <mergeCell ref="F5:F6"/>
    <mergeCell ref="U4:V4"/>
    <mergeCell ref="U5:U6"/>
    <mergeCell ref="A28:AD28"/>
    <mergeCell ref="S5:S6"/>
    <mergeCell ref="T5:T6"/>
    <mergeCell ref="W5:W6"/>
    <mergeCell ref="X5:X6"/>
    <mergeCell ref="H5:H6"/>
    <mergeCell ref="V5:V6"/>
    <mergeCell ref="A2:AD2"/>
    <mergeCell ref="G3:AD3"/>
    <mergeCell ref="J5:J6"/>
    <mergeCell ref="G5:G6"/>
    <mergeCell ref="I5:I6"/>
    <mergeCell ref="AC4:AD4"/>
    <mergeCell ref="AC5:AC6"/>
    <mergeCell ref="AD5:AD6"/>
    <mergeCell ref="M4:N4"/>
    <mergeCell ref="M5:M6"/>
    <mergeCell ref="N5:N6"/>
    <mergeCell ref="S4:T4"/>
    <mergeCell ref="A5:A6"/>
  </mergeCells>
  <printOptions horizontalCentered="1"/>
  <pageMargins left="0.31496062992125984" right="0.31496062992125984" top="0.39370078740157483" bottom="0.3937007874015748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Ограждения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2026-05-15T08:38:17Z</dcterms:modified>
</cp:coreProperties>
</file>