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отникова\Витражи\"/>
    </mc:Choice>
  </mc:AlternateContent>
  <xr:revisionPtr revIDLastSave="0" documentId="13_ncr:1_{79007DFD-06F8-4106-9860-FDD237C5535D}" xr6:coauthVersionLast="47" xr6:coauthVersionMax="47" xr10:uidLastSave="{00000000-0000-0000-0000-000000000000}"/>
  <bookViews>
    <workbookView xWindow="1170" yWindow="720" windowWidth="25200" windowHeight="15480" xr2:uid="{00000000-000D-0000-FFFF-FFFF00000000}"/>
  </bookViews>
  <sheets>
    <sheet name="ВОР" sheetId="1" r:id="rId1"/>
    <sheet name="Лист1" sheetId="5" state="hidden" r:id="rId2"/>
    <sheet name="На инст" sheetId="4" state="hidden" r:id="rId3"/>
    <sheet name="Витражи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E44" i="1"/>
  <c r="E23" i="1"/>
  <c r="E11" i="1"/>
  <c r="E7" i="1"/>
  <c r="L24" i="5"/>
  <c r="N10" i="5" l="1"/>
  <c r="H21" i="1"/>
  <c r="H19" i="1"/>
  <c r="H18" i="1"/>
  <c r="H16" i="1"/>
  <c r="H13" i="1"/>
  <c r="H12" i="1"/>
  <c r="J3" i="5"/>
  <c r="M46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28" i="5"/>
  <c r="P3" i="5"/>
  <c r="O3" i="5"/>
  <c r="M3" i="5"/>
  <c r="J24" i="5" l="1"/>
  <c r="J4" i="5"/>
  <c r="J5" i="5"/>
  <c r="J6" i="5"/>
  <c r="J7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O3" i="2"/>
  <c r="M4" i="5"/>
  <c r="M23" i="5"/>
  <c r="M22" i="5"/>
  <c r="M21" i="5"/>
  <c r="M20" i="5"/>
  <c r="M19" i="5"/>
  <c r="M13" i="5"/>
  <c r="M14" i="5"/>
  <c r="M15" i="5"/>
  <c r="M16" i="5"/>
  <c r="M17" i="5"/>
  <c r="M18" i="5"/>
  <c r="M11" i="5"/>
  <c r="M12" i="5"/>
  <c r="M10" i="5"/>
  <c r="M9" i="5"/>
  <c r="M8" i="5"/>
  <c r="Q3" i="5" s="1"/>
  <c r="M7" i="5"/>
  <c r="M6" i="5"/>
  <c r="M5" i="5"/>
  <c r="M24" i="5" l="1"/>
  <c r="H33" i="2" l="1"/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R16" i="2"/>
  <c r="X16" i="2" s="1"/>
  <c r="R17" i="2"/>
  <c r="X17" i="2" s="1"/>
  <c r="R18" i="2"/>
  <c r="X18" i="2" s="1"/>
  <c r="R19" i="2"/>
  <c r="X19" i="2" s="1"/>
  <c r="R20" i="2"/>
  <c r="X20" i="2" s="1"/>
  <c r="R21" i="2"/>
  <c r="X21" i="2" s="1"/>
  <c r="R22" i="2"/>
  <c r="X22" i="2" s="1"/>
  <c r="R23" i="2"/>
  <c r="X23" i="2" s="1"/>
  <c r="R24" i="2"/>
  <c r="X24" i="2" s="1"/>
  <c r="R25" i="2"/>
  <c r="X25" i="2" s="1"/>
  <c r="R26" i="2"/>
  <c r="X26" i="2" s="1"/>
  <c r="R27" i="2"/>
  <c r="X27" i="2" s="1"/>
  <c r="R28" i="2"/>
  <c r="X28" i="2" s="1"/>
  <c r="R29" i="2"/>
  <c r="X29" i="2" s="1"/>
  <c r="R30" i="2"/>
  <c r="X30" i="2" s="1"/>
  <c r="R31" i="2"/>
  <c r="X31" i="2" s="1"/>
  <c r="R15" i="2"/>
  <c r="X15" i="2" s="1"/>
  <c r="H20" i="1" l="1"/>
  <c r="H17" i="1"/>
  <c r="H15" i="1"/>
  <c r="H14" i="1"/>
  <c r="E16" i="1" s="1"/>
  <c r="H9" i="1" l="1"/>
  <c r="H8" i="1"/>
  <c r="E9" i="1" s="1"/>
  <c r="L31" i="2"/>
  <c r="N31" i="2" s="1"/>
  <c r="O31" i="2" s="1"/>
  <c r="L30" i="2"/>
  <c r="N30" i="2" s="1"/>
  <c r="O30" i="2" s="1"/>
  <c r="M29" i="2"/>
  <c r="N29" i="2" s="1"/>
  <c r="O29" i="2" s="1"/>
  <c r="L28" i="2"/>
  <c r="N28" i="2" s="1"/>
  <c r="O28" i="2" s="1"/>
  <c r="L27" i="2"/>
  <c r="N27" i="2" s="1"/>
  <c r="O27" i="2" s="1"/>
  <c r="M26" i="2"/>
  <c r="L26" i="2"/>
  <c r="M25" i="2"/>
  <c r="L25" i="2"/>
  <c r="M24" i="2"/>
  <c r="L24" i="2"/>
  <c r="N24" i="2" s="1"/>
  <c r="O24" i="2" s="1"/>
  <c r="M23" i="2"/>
  <c r="L23" i="2"/>
  <c r="M22" i="2"/>
  <c r="L22" i="2"/>
  <c r="N21" i="2"/>
  <c r="O21" i="2" s="1"/>
  <c r="N20" i="2"/>
  <c r="O20" i="2" s="1"/>
  <c r="N19" i="2"/>
  <c r="O19" i="2" s="1"/>
  <c r="M18" i="2"/>
  <c r="L18" i="2"/>
  <c r="M17" i="2"/>
  <c r="L17" i="2"/>
  <c r="N17" i="2" s="1"/>
  <c r="O17" i="2" s="1"/>
  <c r="M16" i="2"/>
  <c r="N16" i="2" s="1"/>
  <c r="O16" i="2" s="1"/>
  <c r="L16" i="2"/>
  <c r="M15" i="2"/>
  <c r="L15" i="2"/>
  <c r="N13" i="2"/>
  <c r="O13" i="2" s="1"/>
  <c r="M12" i="2"/>
  <c r="L12" i="2"/>
  <c r="N12" i="2" s="1"/>
  <c r="O12" i="2" s="1"/>
  <c r="M11" i="2"/>
  <c r="L11" i="2"/>
  <c r="N11" i="2" s="1"/>
  <c r="O11" i="2" s="1"/>
  <c r="M10" i="2"/>
  <c r="L10" i="2"/>
  <c r="N10" i="2" s="1"/>
  <c r="O10" i="2" s="1"/>
  <c r="M9" i="2"/>
  <c r="L9" i="2"/>
  <c r="N9" i="2" s="1"/>
  <c r="O9" i="2" s="1"/>
  <c r="M8" i="2"/>
  <c r="L8" i="2"/>
  <c r="N8" i="2" s="1"/>
  <c r="O8" i="2" s="1"/>
  <c r="M7" i="2"/>
  <c r="L7" i="2"/>
  <c r="M6" i="2"/>
  <c r="L6" i="2"/>
  <c r="N6" i="2" s="1"/>
  <c r="O6" i="2" s="1"/>
  <c r="M5" i="2"/>
  <c r="L5" i="2"/>
  <c r="N5" i="2" s="1"/>
  <c r="O5" i="2" s="1"/>
  <c r="M4" i="2"/>
  <c r="N4" i="2" s="1"/>
  <c r="O4" i="2" s="1"/>
  <c r="L3" i="2"/>
  <c r="N15" i="2" l="1"/>
  <c r="O15" i="2" s="1"/>
  <c r="N22" i="2"/>
  <c r="O22" i="2" s="1"/>
  <c r="N23" i="2"/>
  <c r="O23" i="2" s="1"/>
  <c r="N7" i="2"/>
  <c r="O7" i="2" s="1"/>
  <c r="O14" i="2" s="1"/>
  <c r="N18" i="2"/>
  <c r="O18" i="2" s="1"/>
  <c r="N25" i="2"/>
  <c r="O25" i="2" s="1"/>
  <c r="N26" i="2"/>
  <c r="O26" i="2" s="1"/>
  <c r="O32" i="2" s="1"/>
</calcChain>
</file>

<file path=xl/sharedStrings.xml><?xml version="1.0" encoding="utf-8"?>
<sst xmlns="http://schemas.openxmlformats.org/spreadsheetml/2006/main" count="336" uniqueCount="136">
  <si>
    <t>Объект образования (общеобразовательная школа на 1100 мест) по ул. Николая Сотникова в Кировском районе г.Новосибирска</t>
  </si>
  <si>
    <t>Рабочая документация шифр 7018-АР (предварительная выдача)</t>
  </si>
  <si>
    <t>№
п/п</t>
  </si>
  <si>
    <t>Наименование работ</t>
  </si>
  <si>
    <t>Ед.изм</t>
  </si>
  <si>
    <t>Объем</t>
  </si>
  <si>
    <t>Примечание</t>
  </si>
  <si>
    <t>Поз.</t>
  </si>
  <si>
    <t>Обозначение</t>
  </si>
  <si>
    <t>Наименование</t>
  </si>
  <si>
    <t>Количество на этаж</t>
  </si>
  <si>
    <t/>
  </si>
  <si>
    <t>Всего</t>
  </si>
  <si>
    <t>Площадь</t>
  </si>
  <si>
    <t>Длина</t>
  </si>
  <si>
    <t>Высота</t>
  </si>
  <si>
    <t>Площадь ед</t>
  </si>
  <si>
    <t>Площадь всего</t>
  </si>
  <si>
    <t>1 этаж</t>
  </si>
  <si>
    <t>2 этаж</t>
  </si>
  <si>
    <t>3 этаж</t>
  </si>
  <si>
    <t>4 этаж</t>
  </si>
  <si>
    <t>В-1</t>
  </si>
  <si>
    <t>Индивид. заказ по ГОСТ 21519-2022</t>
  </si>
  <si>
    <t>Витраж 2480(р)х2180, дверь 1750х2100(h) EIW 15</t>
  </si>
  <si>
    <t>В-2</t>
  </si>
  <si>
    <t>Витраж 3180(h)х4060, дверь 1750х2200(h) EIW 30</t>
  </si>
  <si>
    <t>&lt;варианты&gt;</t>
  </si>
  <si>
    <t>В-3</t>
  </si>
  <si>
    <t>Витраж 3470(h)х2360, дверь 1750х2200(h) EIW 15</t>
  </si>
  <si>
    <t>В-4</t>
  </si>
  <si>
    <t>Витраж 3180(h)х4030, дверь 1750х2200(h) EI 15</t>
  </si>
  <si>
    <t>В-5</t>
  </si>
  <si>
    <t>Витраж 3180(h)х5560, дверь 1750х2200(h)</t>
  </si>
  <si>
    <t>В-6</t>
  </si>
  <si>
    <t>Витраж 3180(h)х5560, дверь 1050х2100(h)</t>
  </si>
  <si>
    <t>В-7</t>
  </si>
  <si>
    <t>Витраж 3180(h)х4060, дверь 1750х2200(h) EIW 15</t>
  </si>
  <si>
    <t>В-8</t>
  </si>
  <si>
    <t>Витраж 3470(h)х4050, дверь 1750х2200(h) EIW 30</t>
  </si>
  <si>
    <t>В-9</t>
  </si>
  <si>
    <t>Витраж 3180(h)х3060, дверь 1750х2200(h) EIW 30</t>
  </si>
  <si>
    <t>В-10</t>
  </si>
  <si>
    <t>Витраж 3180(h)х3650, дверь 1750х2200(h) EIW 15</t>
  </si>
  <si>
    <t>В-11</t>
  </si>
  <si>
    <t>ВН-1</t>
  </si>
  <si>
    <t>Витраж 3180(h)х5560, дверь 1850х2200(h)</t>
  </si>
  <si>
    <t>ВН-1/1</t>
  </si>
  <si>
    <t>ВН-2</t>
  </si>
  <si>
    <t>Витраж 3470(h)х5410, дверь 1700х2200(h) - 2шт.</t>
  </si>
  <si>
    <t>ВН-3</t>
  </si>
  <si>
    <t>Витраж 3180(h)х5410, дверь 1700х2200(h) - 2 шт.</t>
  </si>
  <si>
    <t>ВН-4</t>
  </si>
  <si>
    <t>Витраж 3470(h)х5510, дверь 1850х2200(h)</t>
  </si>
  <si>
    <t>ВН-4/1</t>
  </si>
  <si>
    <t>ВН-5</t>
  </si>
  <si>
    <t>Витраж 3470(h)х6200</t>
  </si>
  <si>
    <t>ВН-6</t>
  </si>
  <si>
    <t>Витраж 3180(h)х1760, дверь 1700х2200(h)</t>
  </si>
  <si>
    <t>ВН-7</t>
  </si>
  <si>
    <t>Витраж 2340(h)х2140, дверь 1750х2140(h)</t>
  </si>
  <si>
    <t>ВН-8</t>
  </si>
  <si>
    <t>Витраж 3180(h)х1760, дверь 1620х2200(h)</t>
  </si>
  <si>
    <t>ВН-9</t>
  </si>
  <si>
    <t>Витраж 3180(h)х5560</t>
  </si>
  <si>
    <t>ВН-10</t>
  </si>
  <si>
    <t>ВН-11</t>
  </si>
  <si>
    <t>Витраж 11580(h)х3360, дверь 1850х2200(h)</t>
  </si>
  <si>
    <t>ВН-12</t>
  </si>
  <si>
    <t>Витраж 13610(h)х2760, дверь 1850х2200(h)</t>
  </si>
  <si>
    <t>ВН-13</t>
  </si>
  <si>
    <t>Витраж 11580(h)х1960, дверь 1860х2200(h)</t>
  </si>
  <si>
    <t>ВН-14</t>
  </si>
  <si>
    <t>Витраж 3180(h)х2360, 1750х2200(h)</t>
  </si>
  <si>
    <t>ВН-15</t>
  </si>
  <si>
    <t>Витраж 15330(h)х2360, дверь 1850х2200(h)</t>
  </si>
  <si>
    <t>м2</t>
  </si>
  <si>
    <t>В-6 Витраж 3180(h)х5560, дверь 1050х2100(h)</t>
  </si>
  <si>
    <t>Наружные витражи индивидуального изготовления по ГОСТ 21519-2022</t>
  </si>
  <si>
    <t>Внутренние витражи индивидуального изготовления по ГОСТ 21519-2022</t>
  </si>
  <si>
    <t>Внутренние противопожарные витражи индивидуального изготовления по ГОСТ 21519-2022</t>
  </si>
  <si>
    <t xml:space="preserve">Монтаж внутренних конструкций алюминиевых витражей </t>
  </si>
  <si>
    <t xml:space="preserve">Монтаж внутренних противопожарных конструкций алюминиевых витражей </t>
  </si>
  <si>
    <t>ВН-8 Витраж 3180(h)х1760, дверь 1620х2200(h)</t>
  </si>
  <si>
    <t>ВН-9 Витраж 3180(h)х5560</t>
  </si>
  <si>
    <t>В-5 Витраж 3180(h)х5560, дверь 1750х2200(h).
На двупольной двери предусмотрен доводчик на каждой створке двери (2шт.) с синхронизатором закрывания (1шт.)</t>
  </si>
  <si>
    <t xml:space="preserve">7018-АР л.34 витраж В-8 (ELW 30). Не предусмотрены доводчики на противопожарной двери. </t>
  </si>
  <si>
    <t>ВН-1 Витраж 3180(h)х5560, дверь 1850х2200(h) 
На двупольной двери предусмотрен доводчик на каждой створке двери (2шт.) с синхронизатором закрывания (1шт.). Система антипаника.</t>
  </si>
  <si>
    <t>ВН-1/1 Витраж 3180(h)х5560, дверь 1850х2200(h)
На двупольной двери предусмотрен доводчик на каждой створке двери (2шт.) с синхронизатором закрывания (1шт.). Система антипаника.</t>
  </si>
  <si>
    <t>ВН-2 Витраж 3470(h)х5410, дверь 1700х2200(h) - 2шт.
На двупольных дверях предусмотрен доводчик на каждой створке двери (4шт.) с синхронизатором закрывания (2шт.). Система антипаника.</t>
  </si>
  <si>
    <t>ВН-3 Витраж 3180(h)х5410, дверь 1700х2200(h) - 2 шт. 
На двупольных дверях предусмотрен доводчик на каждой створке двери (4шт.) с синхронизатором закрывания (2шт.). Система антипаника.</t>
  </si>
  <si>
    <t>ВН-4 Витраж 3470(h)х5510, дверь 1850х2200(h)
На двупольной двери предусмотрен доводчик на каждой створке двери (2шт.) с синхронизатором закрывания (1шт.). Система антипаника.</t>
  </si>
  <si>
    <t>ВН-4/1 Витраж 3470(h)х5510, дверь 1850х2200(h)
На двупольной двери предусмотрен доводчик на каждой створке двери (2шт.) с синхронизатором закрывания (1шт.). Система антипаника.</t>
  </si>
  <si>
    <t>ВН-6 Витраж 3180(h)х1760, дверь 1700х2200(h) 
На двупольной двери предусмотрен доводчик на каждой створке двери (2шт.) с синхронизатором закрывания (1шт.)</t>
  </si>
  <si>
    <t>ВН-7 Витраж 2340(h)х2140, дверь 1750х2140(h)
На двупольной двери предусмотрен доводчик на каждой створке двери (2шт.) с синхронизатором закрывания (1шт.)</t>
  </si>
  <si>
    <t>ВН-10 Витраж 3180(h)х5560, дверь 1750х2200(h). 
Система антипаника</t>
  </si>
  <si>
    <t>ВН-11 Витраж 11580(h)х3360, дверь 1850х2200(h)
Система антипаника</t>
  </si>
  <si>
    <t>ВН-12 Витраж 13610(h)х2760, дверь 1850х2200(h)
Система Антипаника</t>
  </si>
  <si>
    <t>ВН-13 Витраж 11580(h)х1960, дверь 1860х2200(h)
Система Антипаника</t>
  </si>
  <si>
    <t>ВН-15 Витраж 15330(h)х2360, дверь 1850х2200(h)
Система Антипаника</t>
  </si>
  <si>
    <t>ВН-14 Витраж 3180(h)х2360, 1750х2200(h)</t>
  </si>
  <si>
    <t>Тип</t>
  </si>
  <si>
    <t>Неприсоединенная высота</t>
  </si>
  <si>
    <t>Зависимость снизу</t>
  </si>
  <si>
    <t>ADSK_Примечание</t>
  </si>
  <si>
    <t>ADSK_Витраж_Без разрезки_Импосты 50х100</t>
  </si>
  <si>
    <t>Этаж 01</t>
  </si>
  <si>
    <t>Витраж 3180(h)х3470, дверь 1750х2200(h) EIW 30</t>
  </si>
  <si>
    <t>Витраж 2140(h)х2340, дверь 1750х2140(h)</t>
  </si>
  <si>
    <t>Этаж 02</t>
  </si>
  <si>
    <t>ADSK_В-11 Витраж_Без разрезки_Импосты 50х100</t>
  </si>
  <si>
    <t>Витраж 3180(h)х3710, дверь 1750х2200(h) EIW 15</t>
  </si>
  <si>
    <t>Этаж 03</t>
  </si>
  <si>
    <t>Этаж 04</t>
  </si>
  <si>
    <t>ADSK_Позиция</t>
  </si>
  <si>
    <t>В-9/1</t>
  </si>
  <si>
    <t>Внутренние противопожар</t>
  </si>
  <si>
    <t>Внутренние алюмини</t>
  </si>
  <si>
    <t>доводчика нет в проекте</t>
  </si>
  <si>
    <t>В-1 Витраж 2480(h)х2180, дверь 1750х2100(h) EIW 15. 
На двупольной двери предусмотрен доводчик на каждой створке двери (2шт.) с синхронизатором закрывания (1шт.)</t>
  </si>
  <si>
    <t>В-2 Витраж 3180(h)х3470, дверь 1750х2200(h) EIW 30
На двупольной двери предусмотрен доводчик на каждой створке двери (4шт.) с синхронизатором закрывания (2шт.)</t>
  </si>
  <si>
    <t>В-3 Витраж 3470(h)х2360, дверь 1750х2200(h) EIW 15
На двупольной двери предусмотрен доводчик на каждой створке двери (2шт.) с синхронизатором закрывания (1шт.)</t>
  </si>
  <si>
    <t>В-4 Витраж 3180(h)х4030, дверь 1750х2200(h) EI 15
На двупольной двери предусмотрен доводчик на каждой створке двери (2шт.) с синхронизатором закрывания (1шт.)</t>
  </si>
  <si>
    <t>В-7 Витраж 3180(h)х4060, дверь 1750х2200(h) EIW 15
На двупольной двери предусмотрен доводчик на каждой створке двери (18шт.) с синхронизатором закрывания (9шт.)</t>
  </si>
  <si>
    <t>В-11 Витраж 3180(h)х3710, дверь 1750х2200(h) EIW 15
На двупольной двери предусмотрен доводчик на каждой створке двери (2шт.) с синхронизатором закрывания (1шт.)</t>
  </si>
  <si>
    <r>
      <t xml:space="preserve">В-8 Витраж 3470(h)х4050, дверь 1750х2200(h) EIW 30 
</t>
    </r>
    <r>
      <rPr>
        <sz val="12"/>
        <color theme="8" tint="-0.249977111117893"/>
        <rFont val="Times New Roman"/>
        <family val="1"/>
        <charset val="204"/>
      </rPr>
      <t>На двупольной двери предусмотрен доводчик на каждой створке двери (2шт.) с синхронизатором закрывания (1шт.)</t>
    </r>
  </si>
  <si>
    <r>
      <t xml:space="preserve">В-9 Витраж 3180(h)х4060, дверь 1750х2200(h) EIW 30 
</t>
    </r>
    <r>
      <rPr>
        <sz val="12"/>
        <color theme="8" tint="-0.249977111117893"/>
        <rFont val="Times New Roman"/>
        <family val="1"/>
        <charset val="204"/>
      </rPr>
      <t>На двупольной двери предусмотрен доводчик на каждой створке двери (4шт.) с синхронизатором закрывания (1шт.)</t>
    </r>
  </si>
  <si>
    <r>
      <t xml:space="preserve">В-9/1 Витраж 3180(h)х4060, дверь 1750х2200(h) EIW 30 
</t>
    </r>
    <r>
      <rPr>
        <sz val="12"/>
        <color theme="8" tint="-0.249977111117893"/>
        <rFont val="Times New Roman"/>
        <family val="1"/>
        <charset val="204"/>
      </rPr>
      <t>На двупольной двери предусмотрен доводчик на каждой створке двери (4шт.) с синхронизатором закрывания (1шт.)</t>
    </r>
  </si>
  <si>
    <r>
      <t xml:space="preserve">В-10 Витраж 3180(h)х3650, дверь 1750х2200(h) EIW 15 
</t>
    </r>
    <r>
      <rPr>
        <sz val="12"/>
        <color theme="8" tint="-0.249977111117893"/>
        <rFont val="Times New Roman"/>
        <family val="1"/>
        <charset val="204"/>
      </rPr>
      <t>На двупольной двери предусмотрен доводчик на каждой створке двери (2шт.) с синхронизатором закрывания (1шт.)</t>
    </r>
  </si>
  <si>
    <r>
      <t xml:space="preserve">Монтаж алюминиевых внутренних витражей
</t>
    </r>
    <r>
      <rPr>
        <sz val="14"/>
        <color theme="1"/>
        <rFont val="Times New Roman"/>
        <family val="1"/>
        <charset val="204"/>
      </rPr>
      <t>(л.32, л.34-л.35)</t>
    </r>
  </si>
  <si>
    <t>шт.</t>
  </si>
  <si>
    <r>
      <t xml:space="preserve">Монтаж алюминиевых наружных витражей
</t>
    </r>
    <r>
      <rPr>
        <sz val="14"/>
        <color theme="1"/>
        <rFont val="Times New Roman"/>
        <family val="1"/>
        <charset val="204"/>
      </rPr>
      <t>(л.32, л.34-л.35)</t>
    </r>
  </si>
  <si>
    <t>ВН-5 Витраж 3470(h)х6200.</t>
  </si>
  <si>
    <t xml:space="preserve">Монтаж наружных конструкций алюминиевых витражей </t>
  </si>
  <si>
    <t>Ведомость объемов работ №13 от 26.01.26 составлена на основании объемов с BIM модели (версия 9 от 16.03.26).</t>
  </si>
  <si>
    <t>Ведомость объёмов работ №13 от 25.03.2026г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</si>
</sst>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&quot; м2/шт&quot;"/>
    <numFmt numFmtId="166" formatCode="0&quot; ш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8" tint="-0.249977111117893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rgb="FFF3CDE6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7" xfId="0" applyFont="1" applyBorder="1"/>
    <xf numFmtId="0" fontId="0" fillId="0" borderId="9" xfId="0" applyBorder="1"/>
    <xf numFmtId="0" fontId="4" fillId="0" borderId="5" xfId="0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6" fontId="0" fillId="0" borderId="0" xfId="0" applyNumberFormat="1"/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4" borderId="0" xfId="0" applyFill="1" applyBorder="1"/>
    <xf numFmtId="0" fontId="0" fillId="4" borderId="0" xfId="0" applyFill="1" applyBorder="1" applyAlignment="1">
      <alignment horizontal="left" vertic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2" fontId="0" fillId="5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2" fontId="0" fillId="0" borderId="0" xfId="0" applyNumberFormat="1" applyFill="1" applyBorder="1" applyAlignment="1">
      <alignment vertical="center"/>
    </xf>
    <xf numFmtId="2" fontId="0" fillId="5" borderId="0" xfId="0" applyNumberFormat="1" applyFill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2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65" fontId="4" fillId="0" borderId="0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" fontId="4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13608</xdr:colOff>
      <xdr:row>4</xdr:row>
      <xdr:rowOff>0</xdr:rowOff>
    </xdr:from>
    <xdr:to>
      <xdr:col>22</xdr:col>
      <xdr:colOff>486868</xdr:colOff>
      <xdr:row>15</xdr:row>
      <xdr:rowOff>2030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1" y="1061357"/>
          <a:ext cx="7821117" cy="4791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7"/>
  <sheetViews>
    <sheetView tabSelected="1" zoomScale="70" zoomScaleNormal="70" workbookViewId="0">
      <selection activeCell="K18" sqref="K18"/>
    </sheetView>
  </sheetViews>
  <sheetFormatPr defaultRowHeight="15" x14ac:dyDescent="0.25"/>
  <cols>
    <col min="1" max="1" width="4.5703125" customWidth="1"/>
    <col min="2" max="2" width="8.42578125" customWidth="1"/>
    <col min="3" max="3" width="78.5703125" customWidth="1"/>
    <col min="5" max="5" width="12.7109375" customWidth="1"/>
    <col min="6" max="6" width="83.42578125" customWidth="1"/>
    <col min="7" max="7" width="9" customWidth="1"/>
    <col min="8" max="8" width="13.7109375" customWidth="1"/>
    <col min="9" max="9" width="4.7109375" style="54" customWidth="1"/>
    <col min="10" max="10" width="9.140625" hidden="1" customWidth="1"/>
  </cols>
  <sheetData>
    <row r="1" spans="2:10" s="1" customFormat="1" ht="22.5" customHeight="1" x14ac:dyDescent="0.25">
      <c r="B1" s="67" t="s">
        <v>135</v>
      </c>
      <c r="C1" s="67"/>
      <c r="D1" s="67"/>
      <c r="E1" s="67"/>
      <c r="F1" s="67"/>
      <c r="G1" s="67"/>
      <c r="H1" s="67"/>
      <c r="I1" s="8"/>
    </row>
    <row r="2" spans="2:10" s="1" customFormat="1" ht="24" customHeight="1" x14ac:dyDescent="0.25">
      <c r="B2" s="74" t="s">
        <v>0</v>
      </c>
      <c r="C2" s="74"/>
      <c r="D2" s="74"/>
      <c r="E2" s="74"/>
      <c r="F2" s="74"/>
      <c r="G2" s="74"/>
      <c r="H2" s="74"/>
      <c r="I2" s="8"/>
    </row>
    <row r="3" spans="2:10" s="1" customFormat="1" ht="21.75" customHeight="1" x14ac:dyDescent="0.25">
      <c r="B3" s="73" t="s">
        <v>1</v>
      </c>
      <c r="C3" s="73"/>
      <c r="D3" s="73"/>
      <c r="E3" s="73"/>
      <c r="F3" s="73"/>
      <c r="G3" s="73"/>
      <c r="H3" s="73"/>
      <c r="I3" s="8"/>
    </row>
    <row r="4" spans="2:10" s="1" customFormat="1" ht="15.75" x14ac:dyDescent="0.25">
      <c r="B4" s="72"/>
      <c r="C4" s="72"/>
      <c r="D4" s="72"/>
      <c r="E4" s="72"/>
      <c r="F4" s="72"/>
      <c r="G4" s="72"/>
      <c r="H4" s="72"/>
      <c r="I4" s="8"/>
    </row>
    <row r="5" spans="2:10" s="1" customFormat="1" ht="31.5" x14ac:dyDescent="0.25">
      <c r="B5" s="18" t="s">
        <v>2</v>
      </c>
      <c r="C5" s="19" t="s">
        <v>3</v>
      </c>
      <c r="D5" s="19" t="s">
        <v>4</v>
      </c>
      <c r="E5" s="19" t="s">
        <v>5</v>
      </c>
      <c r="F5" s="69" t="s">
        <v>6</v>
      </c>
      <c r="G5" s="69"/>
      <c r="H5" s="69"/>
      <c r="I5" s="8"/>
    </row>
    <row r="6" spans="2:10" s="1" customFormat="1" ht="39" customHeight="1" x14ac:dyDescent="0.25">
      <c r="B6" s="68" t="s">
        <v>129</v>
      </c>
      <c r="C6" s="68"/>
      <c r="D6" s="68"/>
      <c r="E6" s="68"/>
      <c r="F6" s="68"/>
      <c r="G6" s="68"/>
      <c r="H6" s="68"/>
      <c r="I6" s="8"/>
      <c r="J6" s="55"/>
    </row>
    <row r="7" spans="2:10" ht="15.75" x14ac:dyDescent="0.25">
      <c r="B7" s="77">
        <v>1</v>
      </c>
      <c r="C7" s="80" t="s">
        <v>81</v>
      </c>
      <c r="D7" s="61" t="s">
        <v>130</v>
      </c>
      <c r="E7" s="75">
        <f>G8+G9</f>
        <v>2</v>
      </c>
      <c r="F7" s="70" t="s">
        <v>79</v>
      </c>
      <c r="G7" s="70"/>
      <c r="H7" s="71"/>
    </row>
    <row r="8" spans="2:10" ht="47.25" x14ac:dyDescent="0.25">
      <c r="B8" s="78"/>
      <c r="C8" s="81"/>
      <c r="D8" s="63"/>
      <c r="E8" s="76"/>
      <c r="F8" s="28" t="s">
        <v>85</v>
      </c>
      <c r="G8" s="20">
        <v>1</v>
      </c>
      <c r="H8" s="21">
        <f>ROUND(3.18*5.56,2)</f>
        <v>17.68</v>
      </c>
    </row>
    <row r="9" spans="2:10" ht="19.5" customHeight="1" x14ac:dyDescent="0.25">
      <c r="B9" s="78"/>
      <c r="C9" s="81"/>
      <c r="D9" s="61" t="s">
        <v>76</v>
      </c>
      <c r="E9" s="61">
        <f>G8*H8+G9*H9</f>
        <v>35.36</v>
      </c>
      <c r="F9" s="85" t="s">
        <v>77</v>
      </c>
      <c r="G9" s="87">
        <v>1</v>
      </c>
      <c r="H9" s="89">
        <f>ROUND(3.18*5.56,2)</f>
        <v>17.68</v>
      </c>
    </row>
    <row r="10" spans="2:10" ht="20.25" customHeight="1" x14ac:dyDescent="0.25">
      <c r="B10" s="79"/>
      <c r="C10" s="82"/>
      <c r="D10" s="63"/>
      <c r="E10" s="63"/>
      <c r="F10" s="86"/>
      <c r="G10" s="88"/>
      <c r="H10" s="90"/>
    </row>
    <row r="11" spans="2:10" ht="15.75" x14ac:dyDescent="0.25">
      <c r="B11" s="69">
        <v>2</v>
      </c>
      <c r="C11" s="91" t="s">
        <v>82</v>
      </c>
      <c r="D11" s="61" t="s">
        <v>130</v>
      </c>
      <c r="E11" s="75">
        <f>SUM(G12:G21)</f>
        <v>19</v>
      </c>
      <c r="F11" s="70" t="s">
        <v>80</v>
      </c>
      <c r="G11" s="70"/>
      <c r="H11" s="71"/>
    </row>
    <row r="12" spans="2:10" ht="47.25" x14ac:dyDescent="0.25">
      <c r="B12" s="69"/>
      <c r="C12" s="91"/>
      <c r="D12" s="62"/>
      <c r="E12" s="83"/>
      <c r="F12" s="29" t="s">
        <v>119</v>
      </c>
      <c r="G12" s="20">
        <v>1</v>
      </c>
      <c r="H12" s="21">
        <f>(2.18+1.4)/2*(2.48-2.1)+(2.18*2.1)</f>
        <v>5.2582000000000004</v>
      </c>
    </row>
    <row r="13" spans="2:10" ht="47.25" x14ac:dyDescent="0.25">
      <c r="B13" s="69"/>
      <c r="C13" s="91"/>
      <c r="D13" s="62"/>
      <c r="E13" s="83"/>
      <c r="F13" s="29" t="s">
        <v>120</v>
      </c>
      <c r="G13" s="20">
        <v>2</v>
      </c>
      <c r="H13" s="21">
        <f>ROUND(3.18*3.47,2)</f>
        <v>11.03</v>
      </c>
    </row>
    <row r="14" spans="2:10" ht="47.25" x14ac:dyDescent="0.25">
      <c r="B14" s="69"/>
      <c r="C14" s="91"/>
      <c r="D14" s="62"/>
      <c r="E14" s="83"/>
      <c r="F14" s="29" t="s">
        <v>121</v>
      </c>
      <c r="G14" s="20">
        <v>1</v>
      </c>
      <c r="H14" s="21">
        <f>ROUND(3.47*2.36,2)</f>
        <v>8.19</v>
      </c>
    </row>
    <row r="15" spans="2:10" ht="47.25" x14ac:dyDescent="0.25">
      <c r="B15" s="69"/>
      <c r="C15" s="91"/>
      <c r="D15" s="63"/>
      <c r="E15" s="76"/>
      <c r="F15" s="29" t="s">
        <v>122</v>
      </c>
      <c r="G15" s="20">
        <v>1</v>
      </c>
      <c r="H15" s="21">
        <f>ROUND(3.18*4.03,2)</f>
        <v>12.82</v>
      </c>
    </row>
    <row r="16" spans="2:10" ht="47.25" x14ac:dyDescent="0.25">
      <c r="B16" s="69"/>
      <c r="C16" s="91"/>
      <c r="D16" s="61" t="s">
        <v>76</v>
      </c>
      <c r="E16" s="64">
        <f>G12*H12+G13*H13+G14*H14+G15*H15+G16*H16+G17*H17+G18*H18+G20*H20+G21*H21+G19*H19</f>
        <v>227.79819999999998</v>
      </c>
      <c r="F16" s="29" t="s">
        <v>123</v>
      </c>
      <c r="G16" s="20">
        <v>9</v>
      </c>
      <c r="H16" s="21">
        <f>ROUND(3.18*4.06,2)</f>
        <v>12.91</v>
      </c>
    </row>
    <row r="17" spans="2:11" ht="47.25" x14ac:dyDescent="0.25">
      <c r="B17" s="69"/>
      <c r="C17" s="91"/>
      <c r="D17" s="62"/>
      <c r="E17" s="65"/>
      <c r="F17" s="29" t="s">
        <v>125</v>
      </c>
      <c r="G17" s="20">
        <v>1</v>
      </c>
      <c r="H17" s="21">
        <f>ROUND(3.47*4.05,2)</f>
        <v>14.05</v>
      </c>
      <c r="J17" s="54" t="s">
        <v>118</v>
      </c>
    </row>
    <row r="18" spans="2:11" ht="47.25" x14ac:dyDescent="0.25">
      <c r="B18" s="69"/>
      <c r="C18" s="91"/>
      <c r="D18" s="62"/>
      <c r="E18" s="65"/>
      <c r="F18" s="29" t="s">
        <v>126</v>
      </c>
      <c r="G18" s="20">
        <v>1</v>
      </c>
      <c r="H18" s="21">
        <f>ROUND(3.18*4.06,2)</f>
        <v>12.91</v>
      </c>
      <c r="J18" s="54" t="s">
        <v>118</v>
      </c>
      <c r="K18" s="60"/>
    </row>
    <row r="19" spans="2:11" ht="47.25" x14ac:dyDescent="0.25">
      <c r="B19" s="69"/>
      <c r="C19" s="91"/>
      <c r="D19" s="62"/>
      <c r="E19" s="65"/>
      <c r="F19" s="29" t="s">
        <v>127</v>
      </c>
      <c r="G19" s="20">
        <v>1</v>
      </c>
      <c r="H19" s="21">
        <f>ROUND(3.18*4.06,2)</f>
        <v>12.91</v>
      </c>
      <c r="J19" s="54" t="s">
        <v>118</v>
      </c>
    </row>
    <row r="20" spans="2:11" ht="47.25" x14ac:dyDescent="0.25">
      <c r="B20" s="69"/>
      <c r="C20" s="91"/>
      <c r="D20" s="62"/>
      <c r="E20" s="65"/>
      <c r="F20" s="29" t="s">
        <v>128</v>
      </c>
      <c r="G20" s="20">
        <v>1</v>
      </c>
      <c r="H20" s="21">
        <f>ROUND(3.18*3.65,2)</f>
        <v>11.61</v>
      </c>
      <c r="J20" s="54" t="s">
        <v>118</v>
      </c>
    </row>
    <row r="21" spans="2:11" ht="47.25" x14ac:dyDescent="0.25">
      <c r="B21" s="69"/>
      <c r="C21" s="91"/>
      <c r="D21" s="63"/>
      <c r="E21" s="66"/>
      <c r="F21" s="30" t="s">
        <v>124</v>
      </c>
      <c r="G21" s="22">
        <v>1</v>
      </c>
      <c r="H21" s="23">
        <f>ROUND(3.18*3.71,2)</f>
        <v>11.8</v>
      </c>
    </row>
    <row r="22" spans="2:11" ht="37.5" customHeight="1" x14ac:dyDescent="0.25">
      <c r="B22" s="68" t="s">
        <v>131</v>
      </c>
      <c r="C22" s="68"/>
      <c r="D22" s="68"/>
      <c r="E22" s="68"/>
      <c r="F22" s="68"/>
      <c r="G22" s="68"/>
      <c r="H22" s="68"/>
    </row>
    <row r="23" spans="2:11" ht="15.75" x14ac:dyDescent="0.25">
      <c r="B23" s="69">
        <v>3</v>
      </c>
      <c r="C23" s="91" t="s">
        <v>133</v>
      </c>
      <c r="D23" s="61" t="s">
        <v>130</v>
      </c>
      <c r="E23" s="75">
        <f>SUM(G24:G40)</f>
        <v>18</v>
      </c>
      <c r="F23" s="24" t="s">
        <v>78</v>
      </c>
      <c r="G23" s="25"/>
      <c r="H23" s="26"/>
    </row>
    <row r="24" spans="2:11" ht="47.25" x14ac:dyDescent="0.25">
      <c r="B24" s="69"/>
      <c r="C24" s="91"/>
      <c r="D24" s="62"/>
      <c r="E24" s="83"/>
      <c r="F24" s="31" t="s">
        <v>87</v>
      </c>
      <c r="G24" s="20">
        <v>1</v>
      </c>
      <c r="H24" s="21">
        <f>ROUND(3.18*5.56,2)</f>
        <v>17.68</v>
      </c>
    </row>
    <row r="25" spans="2:11" ht="47.25" x14ac:dyDescent="0.25">
      <c r="B25" s="69"/>
      <c r="C25" s="91"/>
      <c r="D25" s="62"/>
      <c r="E25" s="83"/>
      <c r="F25" s="31" t="s">
        <v>88</v>
      </c>
      <c r="G25" s="20">
        <v>1</v>
      </c>
      <c r="H25" s="21">
        <f>ROUND(3.18*5.56,2)</f>
        <v>17.68</v>
      </c>
    </row>
    <row r="26" spans="2:11" ht="47.25" x14ac:dyDescent="0.25">
      <c r="B26" s="69"/>
      <c r="C26" s="91"/>
      <c r="D26" s="62"/>
      <c r="E26" s="83"/>
      <c r="F26" s="31" t="s">
        <v>89</v>
      </c>
      <c r="G26" s="20">
        <v>1</v>
      </c>
      <c r="H26" s="21">
        <f>ROUND(3.47*5.41,2)</f>
        <v>18.77</v>
      </c>
    </row>
    <row r="27" spans="2:11" ht="47.25" x14ac:dyDescent="0.25">
      <c r="B27" s="69"/>
      <c r="C27" s="91"/>
      <c r="D27" s="62"/>
      <c r="E27" s="83"/>
      <c r="F27" s="31" t="s">
        <v>90</v>
      </c>
      <c r="G27" s="20">
        <v>1</v>
      </c>
      <c r="H27" s="21">
        <f>ROUND(3.18*5.41,2)</f>
        <v>17.2</v>
      </c>
    </row>
    <row r="28" spans="2:11" ht="47.25" x14ac:dyDescent="0.25">
      <c r="B28" s="69"/>
      <c r="C28" s="91"/>
      <c r="D28" s="63"/>
      <c r="E28" s="76"/>
      <c r="F28" s="31" t="s">
        <v>91</v>
      </c>
      <c r="G28" s="20">
        <v>1</v>
      </c>
      <c r="H28" s="21">
        <f>ROUND(3.47*5.51,2)</f>
        <v>19.12</v>
      </c>
    </row>
    <row r="29" spans="2:11" ht="47.25" x14ac:dyDescent="0.25">
      <c r="B29" s="69"/>
      <c r="C29" s="91"/>
      <c r="D29" s="61" t="s">
        <v>76</v>
      </c>
      <c r="E29" s="61">
        <f>G24*H24+G25*H25+G26*H26+G27*H27+G28*H28+G29*H29+G30*H30+G31*H31+G32*H32+G33*H33+G34*H34+G35*H35+G36*H36+G37*H37+G38*H38+G39*H39+G40*H40</f>
        <v>343.17999999999995</v>
      </c>
      <c r="F29" s="31" t="s">
        <v>92</v>
      </c>
      <c r="G29" s="20">
        <v>1</v>
      </c>
      <c r="H29" s="21">
        <f>ROUND(3.47*5.51,2)</f>
        <v>19.12</v>
      </c>
    </row>
    <row r="30" spans="2:11" ht="15.75" x14ac:dyDescent="0.25">
      <c r="B30" s="69"/>
      <c r="C30" s="91"/>
      <c r="D30" s="62"/>
      <c r="E30" s="62"/>
      <c r="F30" s="31" t="s">
        <v>132</v>
      </c>
      <c r="G30" s="20">
        <v>1</v>
      </c>
      <c r="H30" s="21">
        <f>ROUND(3.47*6.2,2)</f>
        <v>21.51</v>
      </c>
    </row>
    <row r="31" spans="2:11" ht="47.25" x14ac:dyDescent="0.25">
      <c r="B31" s="69"/>
      <c r="C31" s="91"/>
      <c r="D31" s="62"/>
      <c r="E31" s="62"/>
      <c r="F31" s="31" t="s">
        <v>93</v>
      </c>
      <c r="G31" s="20">
        <v>1</v>
      </c>
      <c r="H31" s="21">
        <f>ROUND(3.18*1.76,2)</f>
        <v>5.6</v>
      </c>
    </row>
    <row r="32" spans="2:11" ht="47.25" x14ac:dyDescent="0.25">
      <c r="B32" s="69"/>
      <c r="C32" s="91"/>
      <c r="D32" s="62"/>
      <c r="E32" s="62"/>
      <c r="F32" s="31" t="s">
        <v>94</v>
      </c>
      <c r="G32" s="20">
        <v>1</v>
      </c>
      <c r="H32" s="21">
        <f>ROUND(2.34*2.14,2)</f>
        <v>5.01</v>
      </c>
    </row>
    <row r="33" spans="2:8" ht="15.75" x14ac:dyDescent="0.25">
      <c r="B33" s="69"/>
      <c r="C33" s="91"/>
      <c r="D33" s="62"/>
      <c r="E33" s="62"/>
      <c r="F33" s="27" t="s">
        <v>83</v>
      </c>
      <c r="G33" s="20">
        <v>1</v>
      </c>
      <c r="H33" s="21">
        <f>ROUND(3.18*1.76,2)</f>
        <v>5.6</v>
      </c>
    </row>
    <row r="34" spans="2:8" ht="15.75" x14ac:dyDescent="0.25">
      <c r="B34" s="69"/>
      <c r="C34" s="91"/>
      <c r="D34" s="62"/>
      <c r="E34" s="62"/>
      <c r="F34" s="27" t="s">
        <v>84</v>
      </c>
      <c r="G34" s="20">
        <v>2</v>
      </c>
      <c r="H34" s="21">
        <f>ROUND(3.18*5.56,2)</f>
        <v>17.68</v>
      </c>
    </row>
    <row r="35" spans="2:8" ht="31.5" x14ac:dyDescent="0.25">
      <c r="B35" s="69"/>
      <c r="C35" s="91"/>
      <c r="D35" s="62"/>
      <c r="E35" s="62"/>
      <c r="F35" s="31" t="s">
        <v>95</v>
      </c>
      <c r="G35" s="20">
        <v>1</v>
      </c>
      <c r="H35" s="21">
        <f>ROUND(3.18*5.56,2)</f>
        <v>17.68</v>
      </c>
    </row>
    <row r="36" spans="2:8" ht="31.5" x14ac:dyDescent="0.25">
      <c r="B36" s="69"/>
      <c r="C36" s="91"/>
      <c r="D36" s="62"/>
      <c r="E36" s="62"/>
      <c r="F36" s="31" t="s">
        <v>96</v>
      </c>
      <c r="G36" s="20">
        <v>1</v>
      </c>
      <c r="H36" s="21">
        <f>ROUND(11.58*3.36,2)</f>
        <v>38.909999999999997</v>
      </c>
    </row>
    <row r="37" spans="2:8" ht="31.5" x14ac:dyDescent="0.25">
      <c r="B37" s="69"/>
      <c r="C37" s="91"/>
      <c r="D37" s="62"/>
      <c r="E37" s="62"/>
      <c r="F37" s="31" t="s">
        <v>97</v>
      </c>
      <c r="G37" s="20">
        <v>1</v>
      </c>
      <c r="H37" s="21">
        <f>ROUND(13.61*2.76,2)</f>
        <v>37.56</v>
      </c>
    </row>
    <row r="38" spans="2:8" ht="31.5" x14ac:dyDescent="0.25">
      <c r="B38" s="69"/>
      <c r="C38" s="91"/>
      <c r="D38" s="62"/>
      <c r="E38" s="62"/>
      <c r="F38" s="31" t="s">
        <v>98</v>
      </c>
      <c r="G38" s="20">
        <v>1</v>
      </c>
      <c r="H38" s="21">
        <f>ROUND(11.58*1.96,2)</f>
        <v>22.7</v>
      </c>
    </row>
    <row r="39" spans="2:8" ht="15.75" x14ac:dyDescent="0.25">
      <c r="B39" s="69"/>
      <c r="C39" s="91"/>
      <c r="D39" s="62"/>
      <c r="E39" s="62"/>
      <c r="F39" s="31" t="s">
        <v>100</v>
      </c>
      <c r="G39" s="20">
        <v>1</v>
      </c>
      <c r="H39" s="21">
        <f>ROUND(3.18*2.36,2)</f>
        <v>7.5</v>
      </c>
    </row>
    <row r="40" spans="2:8" ht="31.5" x14ac:dyDescent="0.25">
      <c r="B40" s="69"/>
      <c r="C40" s="91"/>
      <c r="D40" s="63"/>
      <c r="E40" s="63"/>
      <c r="F40" s="32" t="s">
        <v>99</v>
      </c>
      <c r="G40" s="22">
        <v>1</v>
      </c>
      <c r="H40" s="23">
        <f>ROUND(15.33*2.36,2)</f>
        <v>36.18</v>
      </c>
    </row>
    <row r="41" spans="2:8" ht="15.75" x14ac:dyDescent="0.25">
      <c r="B41" s="56"/>
      <c r="C41" s="57"/>
      <c r="D41" s="56"/>
      <c r="E41" s="56"/>
      <c r="F41" s="58"/>
      <c r="G41" s="20"/>
      <c r="H41" s="59"/>
    </row>
    <row r="42" spans="2:8" ht="15.75" x14ac:dyDescent="0.25">
      <c r="B42" s="84" t="s">
        <v>134</v>
      </c>
      <c r="C42" s="84"/>
      <c r="D42" s="84"/>
      <c r="E42" s="84"/>
      <c r="F42" s="84"/>
      <c r="G42" s="84"/>
      <c r="H42" s="84"/>
    </row>
    <row r="43" spans="2:8" ht="15.75" x14ac:dyDescent="0.25">
      <c r="B43" s="84"/>
      <c r="C43" s="84"/>
      <c r="D43" s="84"/>
      <c r="E43" s="84"/>
      <c r="F43" s="84"/>
      <c r="G43" s="84"/>
      <c r="H43" s="84"/>
    </row>
    <row r="44" spans="2:8" ht="15.75" x14ac:dyDescent="0.25">
      <c r="E44" s="60">
        <f>E29+E16+E9</f>
        <v>606.33819999999992</v>
      </c>
      <c r="F44" s="17"/>
      <c r="G44" s="33"/>
    </row>
    <row r="45" spans="2:8" ht="15.75" x14ac:dyDescent="0.25">
      <c r="F45" s="17"/>
      <c r="G45" s="33"/>
    </row>
    <row r="46" spans="2:8" ht="15.75" x14ac:dyDescent="0.25">
      <c r="F46" s="17"/>
      <c r="G46" s="33"/>
    </row>
    <row r="47" spans="2:8" x14ac:dyDescent="0.25">
      <c r="G47" s="33"/>
    </row>
  </sheetData>
  <mergeCells count="32">
    <mergeCell ref="D23:D28"/>
    <mergeCell ref="E23:E28"/>
    <mergeCell ref="B43:H43"/>
    <mergeCell ref="E9:E10"/>
    <mergeCell ref="F9:F10"/>
    <mergeCell ref="G9:G10"/>
    <mergeCell ref="H9:H10"/>
    <mergeCell ref="E11:E15"/>
    <mergeCell ref="B11:B21"/>
    <mergeCell ref="B42:H42"/>
    <mergeCell ref="C23:C40"/>
    <mergeCell ref="B23:B40"/>
    <mergeCell ref="B22:H22"/>
    <mergeCell ref="F11:H11"/>
    <mergeCell ref="C11:C21"/>
    <mergeCell ref="D11:D15"/>
    <mergeCell ref="D16:D21"/>
    <mergeCell ref="E16:E21"/>
    <mergeCell ref="E29:E40"/>
    <mergeCell ref="D29:D40"/>
    <mergeCell ref="B1:H1"/>
    <mergeCell ref="B6:H6"/>
    <mergeCell ref="F5:H5"/>
    <mergeCell ref="F7:H7"/>
    <mergeCell ref="B4:H4"/>
    <mergeCell ref="B3:H3"/>
    <mergeCell ref="B2:H2"/>
    <mergeCell ref="E7:E8"/>
    <mergeCell ref="D7:D8"/>
    <mergeCell ref="D9:D10"/>
    <mergeCell ref="B7:B10"/>
    <mergeCell ref="C7:C10"/>
  </mergeCells>
  <pageMargins left="0.7" right="0.7" top="0.75" bottom="0.75" header="0.3" footer="0.3"/>
  <pageSetup paperSize="9" orientation="portrait" r:id="rId1"/>
  <ignoredErrors>
    <ignoredError sqref="H32 H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workbookViewId="0">
      <selection activeCell="L25" sqref="L25"/>
    </sheetView>
  </sheetViews>
  <sheetFormatPr defaultRowHeight="15" x14ac:dyDescent="0.25"/>
  <cols>
    <col min="1" max="1" width="51.42578125" style="34" customWidth="1"/>
    <col min="2" max="2" width="13.7109375" style="34" customWidth="1"/>
    <col min="3" max="3" width="8.140625" style="34" customWidth="1"/>
    <col min="4" max="4" width="10.28515625" style="34" customWidth="1"/>
    <col min="5" max="5" width="46.42578125" style="34" customWidth="1"/>
    <col min="6" max="6" width="16.85546875" style="34" customWidth="1"/>
    <col min="7" max="7" width="19" style="34" customWidth="1"/>
    <col min="8" max="8" width="8.28515625" style="46" customWidth="1"/>
    <col min="9" max="9" width="8.42578125" style="47" customWidth="1"/>
    <col min="10" max="10" width="9.140625" style="44"/>
    <col min="11" max="11" width="6.140625" style="44" customWidth="1"/>
    <col min="12" max="12" width="9.140625" style="41"/>
    <col min="13" max="13" width="9.140625" style="39"/>
    <col min="14" max="14" width="9.140625" style="42"/>
    <col min="15" max="15" width="25.85546875" style="35" customWidth="1"/>
    <col min="16" max="16" width="22.140625" style="35" customWidth="1"/>
    <col min="17" max="17" width="11.85546875" style="35" customWidth="1"/>
    <col min="18" max="16384" width="9.140625" style="35"/>
  </cols>
  <sheetData>
    <row r="1" spans="1:17" ht="30" x14ac:dyDescent="0.25">
      <c r="A1" s="34" t="s">
        <v>101</v>
      </c>
      <c r="B1" s="36" t="s">
        <v>102</v>
      </c>
      <c r="C1" s="34" t="s">
        <v>14</v>
      </c>
      <c r="D1" s="34" t="s">
        <v>13</v>
      </c>
      <c r="E1" s="34" t="s">
        <v>104</v>
      </c>
      <c r="F1" s="34" t="s">
        <v>114</v>
      </c>
      <c r="G1" s="34" t="s">
        <v>103</v>
      </c>
    </row>
    <row r="2" spans="1:17" x14ac:dyDescent="0.25">
      <c r="A2" s="34" t="s">
        <v>11</v>
      </c>
      <c r="B2" s="34" t="s">
        <v>11</v>
      </c>
      <c r="C2" s="34" t="s">
        <v>11</v>
      </c>
      <c r="D2" s="34" t="s">
        <v>11</v>
      </c>
      <c r="E2" s="34" t="s">
        <v>11</v>
      </c>
      <c r="F2" s="34" t="s">
        <v>11</v>
      </c>
      <c r="G2" s="34" t="s">
        <v>11</v>
      </c>
      <c r="O2" s="37" t="s">
        <v>116</v>
      </c>
      <c r="P2" s="48" t="s">
        <v>117</v>
      </c>
    </row>
    <row r="3" spans="1:17" x14ac:dyDescent="0.25">
      <c r="A3" s="38" t="s">
        <v>105</v>
      </c>
      <c r="B3" s="38">
        <v>2500</v>
      </c>
      <c r="C3" s="38">
        <v>2220</v>
      </c>
      <c r="D3" s="38">
        <v>5.38</v>
      </c>
      <c r="E3" s="38" t="s">
        <v>24</v>
      </c>
      <c r="F3" s="38" t="s">
        <v>22</v>
      </c>
      <c r="G3" s="38" t="s">
        <v>106</v>
      </c>
      <c r="H3" s="46">
        <v>2.48</v>
      </c>
      <c r="I3" s="47">
        <v>2.1800000000000002</v>
      </c>
      <c r="J3" s="39">
        <f>(2.18+1.4)/2*(2.48-2.1)+(2.18*2.1)</f>
        <v>5.2582000000000004</v>
      </c>
      <c r="K3" s="39"/>
      <c r="L3" s="41">
        <v>1</v>
      </c>
      <c r="M3" s="43">
        <f>(2.18+1.4)/2*(2.48-2.1)+(2.18*2.1)</f>
        <v>5.2582000000000004</v>
      </c>
      <c r="O3" s="43">
        <f>SUM(M3:M7)+SUM(M10:M23)</f>
        <v>227.80909999999997</v>
      </c>
      <c r="P3" s="49">
        <f>SUM(M8:M9)</f>
        <v>35.361600000000003</v>
      </c>
      <c r="Q3" s="53">
        <f>SUM(O3:P3)</f>
        <v>263.17069999999995</v>
      </c>
    </row>
    <row r="4" spans="1:17" x14ac:dyDescent="0.25">
      <c r="A4" s="38" t="s">
        <v>105</v>
      </c>
      <c r="B4" s="38">
        <v>3220</v>
      </c>
      <c r="C4" s="38">
        <v>4100</v>
      </c>
      <c r="D4" s="38">
        <v>13.2</v>
      </c>
      <c r="E4" s="38" t="s">
        <v>107</v>
      </c>
      <c r="F4" s="38" t="s">
        <v>25</v>
      </c>
      <c r="G4" s="38" t="s">
        <v>106</v>
      </c>
      <c r="H4" s="46">
        <v>3.18</v>
      </c>
      <c r="I4" s="47">
        <v>3.47</v>
      </c>
      <c r="J4" s="39">
        <f t="shared" ref="J4:J23" si="0">H4*I4</f>
        <v>11.034600000000001</v>
      </c>
      <c r="L4" s="92">
        <v>2</v>
      </c>
      <c r="M4" s="43">
        <f>3.18*3.47</f>
        <v>11.034600000000001</v>
      </c>
      <c r="N4" s="51"/>
    </row>
    <row r="5" spans="1:17" x14ac:dyDescent="0.25">
      <c r="A5" s="38" t="s">
        <v>105</v>
      </c>
      <c r="B5" s="38">
        <v>3290</v>
      </c>
      <c r="C5" s="38">
        <v>3510</v>
      </c>
      <c r="D5" s="38">
        <v>11.55</v>
      </c>
      <c r="E5" s="38" t="s">
        <v>107</v>
      </c>
      <c r="F5" s="38" t="s">
        <v>25</v>
      </c>
      <c r="G5" s="38" t="s">
        <v>109</v>
      </c>
      <c r="H5" s="46">
        <v>3.18</v>
      </c>
      <c r="I5" s="47">
        <v>3.47</v>
      </c>
      <c r="J5" s="39">
        <f t="shared" si="0"/>
        <v>11.034600000000001</v>
      </c>
      <c r="L5" s="92"/>
      <c r="M5" s="43">
        <f>3.18*3.47</f>
        <v>11.034600000000001</v>
      </c>
      <c r="N5" s="51"/>
    </row>
    <row r="6" spans="1:17" x14ac:dyDescent="0.25">
      <c r="A6" s="38" t="s">
        <v>105</v>
      </c>
      <c r="B6" s="38">
        <v>3510</v>
      </c>
      <c r="C6" s="38">
        <v>2400</v>
      </c>
      <c r="D6" s="38">
        <v>8.42</v>
      </c>
      <c r="E6" s="38" t="s">
        <v>29</v>
      </c>
      <c r="F6" s="38" t="s">
        <v>28</v>
      </c>
      <c r="G6" s="38" t="s">
        <v>106</v>
      </c>
      <c r="H6" s="46">
        <v>3.47</v>
      </c>
      <c r="I6" s="46">
        <v>2.36</v>
      </c>
      <c r="J6" s="39">
        <f t="shared" si="0"/>
        <v>8.1891999999999996</v>
      </c>
      <c r="K6" s="45"/>
      <c r="L6" s="41">
        <v>1</v>
      </c>
      <c r="M6" s="43">
        <f>3.47*2.36</f>
        <v>8.1891999999999996</v>
      </c>
    </row>
    <row r="7" spans="1:17" x14ac:dyDescent="0.25">
      <c r="A7" s="38" t="s">
        <v>105</v>
      </c>
      <c r="B7" s="38">
        <v>3220</v>
      </c>
      <c r="C7" s="38">
        <v>4070</v>
      </c>
      <c r="D7" s="38">
        <v>13.11</v>
      </c>
      <c r="E7" s="38" t="s">
        <v>31</v>
      </c>
      <c r="F7" s="38" t="s">
        <v>30</v>
      </c>
      <c r="G7" s="38" t="s">
        <v>106</v>
      </c>
      <c r="H7" s="46">
        <v>3.18</v>
      </c>
      <c r="I7" s="46">
        <v>4.03</v>
      </c>
      <c r="J7" s="39">
        <f t="shared" si="0"/>
        <v>12.815400000000002</v>
      </c>
      <c r="K7" s="45"/>
      <c r="L7" s="41">
        <v>1</v>
      </c>
      <c r="M7" s="43">
        <f>3.18*4.03</f>
        <v>12.815400000000002</v>
      </c>
    </row>
    <row r="8" spans="1:17" x14ac:dyDescent="0.25">
      <c r="A8" s="34" t="s">
        <v>105</v>
      </c>
      <c r="B8" s="50">
        <v>3220</v>
      </c>
      <c r="C8" s="50">
        <v>5600</v>
      </c>
      <c r="D8" s="50">
        <v>18.03</v>
      </c>
      <c r="E8" s="50" t="s">
        <v>33</v>
      </c>
      <c r="F8" s="50" t="s">
        <v>32</v>
      </c>
      <c r="G8" s="50" t="s">
        <v>106</v>
      </c>
      <c r="J8" s="39"/>
      <c r="L8" s="41">
        <v>1</v>
      </c>
      <c r="M8" s="52">
        <f>3.18*5.56</f>
        <v>17.680800000000001</v>
      </c>
    </row>
    <row r="9" spans="1:17" x14ac:dyDescent="0.25">
      <c r="A9" s="34" t="s">
        <v>105</v>
      </c>
      <c r="B9" s="50">
        <v>3220</v>
      </c>
      <c r="C9" s="50">
        <v>5600</v>
      </c>
      <c r="D9" s="50">
        <v>18.03</v>
      </c>
      <c r="E9" s="50" t="s">
        <v>35</v>
      </c>
      <c r="F9" s="50" t="s">
        <v>34</v>
      </c>
      <c r="G9" s="50" t="s">
        <v>106</v>
      </c>
      <c r="J9" s="39"/>
      <c r="L9" s="41">
        <v>1</v>
      </c>
      <c r="M9" s="52">
        <f>3.18*5.56</f>
        <v>17.680800000000001</v>
      </c>
    </row>
    <row r="10" spans="1:17" x14ac:dyDescent="0.25">
      <c r="A10" s="38" t="s">
        <v>105</v>
      </c>
      <c r="B10" s="38">
        <v>3220</v>
      </c>
      <c r="C10" s="38">
        <v>4100</v>
      </c>
      <c r="D10" s="38">
        <v>13.2</v>
      </c>
      <c r="E10" s="38" t="s">
        <v>37</v>
      </c>
      <c r="F10" s="38" t="s">
        <v>36</v>
      </c>
      <c r="G10" s="38" t="s">
        <v>106</v>
      </c>
      <c r="H10" s="46">
        <v>3.18</v>
      </c>
      <c r="I10" s="46">
        <v>4.0599999999999996</v>
      </c>
      <c r="J10" s="39">
        <f t="shared" si="0"/>
        <v>12.9108</v>
      </c>
      <c r="K10" s="45"/>
      <c r="L10" s="93">
        <v>9</v>
      </c>
      <c r="M10" s="43">
        <f>3.18*4.06</f>
        <v>12.9108</v>
      </c>
      <c r="N10" s="94">
        <f>SUM(M10:M18)</f>
        <v>116.19719999999998</v>
      </c>
    </row>
    <row r="11" spans="1:17" x14ac:dyDescent="0.25">
      <c r="A11" s="38" t="s">
        <v>105</v>
      </c>
      <c r="B11" s="38">
        <v>3220</v>
      </c>
      <c r="C11" s="38">
        <v>4100</v>
      </c>
      <c r="D11" s="38">
        <v>13.2</v>
      </c>
      <c r="E11" s="38" t="s">
        <v>37</v>
      </c>
      <c r="F11" s="38" t="s">
        <v>36</v>
      </c>
      <c r="G11" s="38" t="s">
        <v>109</v>
      </c>
      <c r="H11" s="46">
        <v>3.18</v>
      </c>
      <c r="I11" s="46">
        <v>4.0599999999999996</v>
      </c>
      <c r="J11" s="39">
        <f t="shared" si="0"/>
        <v>12.9108</v>
      </c>
      <c r="K11" s="45"/>
      <c r="L11" s="93"/>
      <c r="M11" s="43">
        <f t="shared" ref="M11:M18" si="1">3.18*4.06</f>
        <v>12.9108</v>
      </c>
      <c r="N11" s="94"/>
    </row>
    <row r="12" spans="1:17" x14ac:dyDescent="0.25">
      <c r="A12" s="38" t="s">
        <v>105</v>
      </c>
      <c r="B12" s="38">
        <v>3220</v>
      </c>
      <c r="C12" s="38">
        <v>4100</v>
      </c>
      <c r="D12" s="38">
        <v>13.2</v>
      </c>
      <c r="E12" s="38" t="s">
        <v>37</v>
      </c>
      <c r="F12" s="38" t="s">
        <v>36</v>
      </c>
      <c r="G12" s="38" t="s">
        <v>109</v>
      </c>
      <c r="H12" s="46">
        <v>3.18</v>
      </c>
      <c r="I12" s="46">
        <v>4.0599999999999996</v>
      </c>
      <c r="J12" s="39">
        <f t="shared" si="0"/>
        <v>12.9108</v>
      </c>
      <c r="K12" s="45"/>
      <c r="L12" s="93"/>
      <c r="M12" s="43">
        <f t="shared" si="1"/>
        <v>12.9108</v>
      </c>
      <c r="N12" s="94"/>
    </row>
    <row r="13" spans="1:17" x14ac:dyDescent="0.25">
      <c r="A13" s="38" t="s">
        <v>105</v>
      </c>
      <c r="B13" s="38">
        <v>3220</v>
      </c>
      <c r="C13" s="38">
        <v>4100</v>
      </c>
      <c r="D13" s="38">
        <v>13.2</v>
      </c>
      <c r="E13" s="38" t="s">
        <v>37</v>
      </c>
      <c r="F13" s="38" t="s">
        <v>36</v>
      </c>
      <c r="G13" s="38" t="s">
        <v>112</v>
      </c>
      <c r="H13" s="46">
        <v>3.18</v>
      </c>
      <c r="I13" s="46">
        <v>4.0599999999999996</v>
      </c>
      <c r="J13" s="39">
        <f t="shared" si="0"/>
        <v>12.9108</v>
      </c>
      <c r="K13" s="45"/>
      <c r="L13" s="93"/>
      <c r="M13" s="43">
        <f t="shared" si="1"/>
        <v>12.9108</v>
      </c>
      <c r="N13" s="94"/>
    </row>
    <row r="14" spans="1:17" x14ac:dyDescent="0.25">
      <c r="A14" s="38" t="s">
        <v>105</v>
      </c>
      <c r="B14" s="38">
        <v>3220</v>
      </c>
      <c r="C14" s="38">
        <v>4100</v>
      </c>
      <c r="D14" s="38">
        <v>13.2</v>
      </c>
      <c r="E14" s="38" t="s">
        <v>37</v>
      </c>
      <c r="F14" s="38" t="s">
        <v>36</v>
      </c>
      <c r="G14" s="38" t="s">
        <v>112</v>
      </c>
      <c r="H14" s="46">
        <v>3.18</v>
      </c>
      <c r="I14" s="46">
        <v>4.0599999999999996</v>
      </c>
      <c r="J14" s="39">
        <f t="shared" si="0"/>
        <v>12.9108</v>
      </c>
      <c r="K14" s="45"/>
      <c r="L14" s="93"/>
      <c r="M14" s="43">
        <f t="shared" si="1"/>
        <v>12.9108</v>
      </c>
      <c r="N14" s="94"/>
    </row>
    <row r="15" spans="1:17" x14ac:dyDescent="0.25">
      <c r="A15" s="38" t="s">
        <v>105</v>
      </c>
      <c r="B15" s="38">
        <v>3220</v>
      </c>
      <c r="C15" s="38">
        <v>4100</v>
      </c>
      <c r="D15" s="38">
        <v>13.2</v>
      </c>
      <c r="E15" s="38" t="s">
        <v>37</v>
      </c>
      <c r="F15" s="38" t="s">
        <v>36</v>
      </c>
      <c r="G15" s="38" t="s">
        <v>112</v>
      </c>
      <c r="H15" s="46">
        <v>3.18</v>
      </c>
      <c r="I15" s="46">
        <v>4.0599999999999996</v>
      </c>
      <c r="J15" s="39">
        <f t="shared" si="0"/>
        <v>12.9108</v>
      </c>
      <c r="K15" s="45"/>
      <c r="L15" s="93"/>
      <c r="M15" s="43">
        <f t="shared" si="1"/>
        <v>12.9108</v>
      </c>
      <c r="N15" s="94"/>
    </row>
    <row r="16" spans="1:17" x14ac:dyDescent="0.25">
      <c r="A16" s="38" t="s">
        <v>105</v>
      </c>
      <c r="B16" s="38">
        <v>3220</v>
      </c>
      <c r="C16" s="38">
        <v>4100</v>
      </c>
      <c r="D16" s="38">
        <v>13.2</v>
      </c>
      <c r="E16" s="38" t="s">
        <v>37</v>
      </c>
      <c r="F16" s="38" t="s">
        <v>36</v>
      </c>
      <c r="G16" s="38" t="s">
        <v>112</v>
      </c>
      <c r="H16" s="46">
        <v>3.18</v>
      </c>
      <c r="I16" s="46">
        <v>4.0599999999999996</v>
      </c>
      <c r="J16" s="39">
        <f t="shared" si="0"/>
        <v>12.9108</v>
      </c>
      <c r="K16" s="45"/>
      <c r="L16" s="93"/>
      <c r="M16" s="43">
        <f t="shared" si="1"/>
        <v>12.9108</v>
      </c>
      <c r="N16" s="94"/>
    </row>
    <row r="17" spans="1:14" x14ac:dyDescent="0.25">
      <c r="A17" s="38" t="s">
        <v>105</v>
      </c>
      <c r="B17" s="38">
        <v>3220</v>
      </c>
      <c r="C17" s="38">
        <v>4100</v>
      </c>
      <c r="D17" s="38">
        <v>13.2</v>
      </c>
      <c r="E17" s="38" t="s">
        <v>37</v>
      </c>
      <c r="F17" s="38" t="s">
        <v>36</v>
      </c>
      <c r="G17" s="38" t="s">
        <v>113</v>
      </c>
      <c r="H17" s="46">
        <v>3.18</v>
      </c>
      <c r="I17" s="46">
        <v>4.0599999999999996</v>
      </c>
      <c r="J17" s="39">
        <f t="shared" si="0"/>
        <v>12.9108</v>
      </c>
      <c r="K17" s="45"/>
      <c r="L17" s="93"/>
      <c r="M17" s="43">
        <f t="shared" si="1"/>
        <v>12.9108</v>
      </c>
      <c r="N17" s="94"/>
    </row>
    <row r="18" spans="1:14" x14ac:dyDescent="0.25">
      <c r="A18" s="38" t="s">
        <v>105</v>
      </c>
      <c r="B18" s="38">
        <v>3220</v>
      </c>
      <c r="C18" s="38">
        <v>4100</v>
      </c>
      <c r="D18" s="38">
        <v>13.2</v>
      </c>
      <c r="E18" s="38" t="s">
        <v>37</v>
      </c>
      <c r="F18" s="38" t="s">
        <v>36</v>
      </c>
      <c r="G18" s="38" t="s">
        <v>113</v>
      </c>
      <c r="H18" s="46">
        <v>3.18</v>
      </c>
      <c r="I18" s="46">
        <v>4.0599999999999996</v>
      </c>
      <c r="J18" s="39">
        <f t="shared" si="0"/>
        <v>12.9108</v>
      </c>
      <c r="K18" s="45"/>
      <c r="L18" s="93"/>
      <c r="M18" s="43">
        <f t="shared" si="1"/>
        <v>12.9108</v>
      </c>
      <c r="N18" s="94"/>
    </row>
    <row r="19" spans="1:14" x14ac:dyDescent="0.25">
      <c r="A19" s="38" t="s">
        <v>105</v>
      </c>
      <c r="B19" s="38">
        <v>3510</v>
      </c>
      <c r="C19" s="38">
        <v>4095</v>
      </c>
      <c r="D19" s="38">
        <v>14.37</v>
      </c>
      <c r="E19" s="38" t="s">
        <v>39</v>
      </c>
      <c r="F19" s="38" t="s">
        <v>38</v>
      </c>
      <c r="G19" s="38" t="s">
        <v>109</v>
      </c>
      <c r="H19" s="46">
        <v>3.47</v>
      </c>
      <c r="I19" s="46">
        <v>4.05</v>
      </c>
      <c r="J19" s="39">
        <f t="shared" si="0"/>
        <v>14.0535</v>
      </c>
      <c r="K19" s="45"/>
      <c r="L19" s="41">
        <v>1</v>
      </c>
      <c r="M19" s="43">
        <f>3.47*4.05</f>
        <v>14.0535</v>
      </c>
    </row>
    <row r="20" spans="1:14" x14ac:dyDescent="0.25">
      <c r="A20" s="38" t="s">
        <v>105</v>
      </c>
      <c r="B20" s="38">
        <v>3220</v>
      </c>
      <c r="C20" s="38">
        <v>4100</v>
      </c>
      <c r="D20" s="38">
        <v>13.2</v>
      </c>
      <c r="E20" s="38" t="s">
        <v>26</v>
      </c>
      <c r="F20" s="38" t="s">
        <v>40</v>
      </c>
      <c r="G20" s="38" t="s">
        <v>109</v>
      </c>
      <c r="H20" s="46">
        <v>3.18</v>
      </c>
      <c r="I20" s="46">
        <v>4.0599999999999996</v>
      </c>
      <c r="J20" s="39">
        <f t="shared" si="0"/>
        <v>12.9108</v>
      </c>
      <c r="K20" s="45"/>
      <c r="L20" s="41">
        <v>1</v>
      </c>
      <c r="M20" s="43">
        <f>3.18*4.06</f>
        <v>12.9108</v>
      </c>
    </row>
    <row r="21" spans="1:14" x14ac:dyDescent="0.25">
      <c r="A21" s="38" t="s">
        <v>105</v>
      </c>
      <c r="B21" s="38">
        <v>3220</v>
      </c>
      <c r="C21" s="38">
        <v>4100</v>
      </c>
      <c r="D21" s="38">
        <v>13.2</v>
      </c>
      <c r="E21" s="38" t="s">
        <v>37</v>
      </c>
      <c r="F21" s="38" t="s">
        <v>115</v>
      </c>
      <c r="G21" s="38" t="s">
        <v>109</v>
      </c>
      <c r="H21" s="46">
        <v>3.18</v>
      </c>
      <c r="I21" s="46">
        <v>4.0599999999999996</v>
      </c>
      <c r="J21" s="39">
        <f t="shared" si="0"/>
        <v>12.9108</v>
      </c>
      <c r="K21" s="45"/>
      <c r="L21" s="41">
        <v>1</v>
      </c>
      <c r="M21" s="43">
        <f>3.18*4.06</f>
        <v>12.9108</v>
      </c>
    </row>
    <row r="22" spans="1:14" x14ac:dyDescent="0.25">
      <c r="A22" s="38" t="s">
        <v>105</v>
      </c>
      <c r="B22" s="38">
        <v>3290</v>
      </c>
      <c r="C22" s="38">
        <v>3690</v>
      </c>
      <c r="D22" s="38">
        <v>12.14</v>
      </c>
      <c r="E22" s="38" t="s">
        <v>43</v>
      </c>
      <c r="F22" s="38" t="s">
        <v>42</v>
      </c>
      <c r="G22" s="38" t="s">
        <v>112</v>
      </c>
      <c r="H22" s="46">
        <v>3.18</v>
      </c>
      <c r="I22" s="46">
        <v>3.65</v>
      </c>
      <c r="J22" s="39">
        <f t="shared" si="0"/>
        <v>11.607000000000001</v>
      </c>
      <c r="K22" s="45"/>
      <c r="L22" s="41">
        <v>1</v>
      </c>
      <c r="M22" s="43">
        <f>3.18*3.65</f>
        <v>11.607000000000001</v>
      </c>
    </row>
    <row r="23" spans="1:14" x14ac:dyDescent="0.25">
      <c r="A23" s="38" t="s">
        <v>110</v>
      </c>
      <c r="B23" s="38">
        <v>3510</v>
      </c>
      <c r="C23" s="38">
        <v>3755</v>
      </c>
      <c r="D23" s="38">
        <v>13.18</v>
      </c>
      <c r="E23" s="38" t="s">
        <v>111</v>
      </c>
      <c r="F23" s="38" t="s">
        <v>44</v>
      </c>
      <c r="G23" s="38" t="s">
        <v>109</v>
      </c>
      <c r="H23" s="46">
        <v>3.18</v>
      </c>
      <c r="I23" s="46">
        <v>3.71</v>
      </c>
      <c r="J23" s="39">
        <f t="shared" si="0"/>
        <v>11.797800000000001</v>
      </c>
      <c r="K23" s="45"/>
      <c r="L23" s="41">
        <v>1</v>
      </c>
      <c r="M23" s="43">
        <f>3.18*3.71</f>
        <v>11.797800000000001</v>
      </c>
    </row>
    <row r="24" spans="1:14" x14ac:dyDescent="0.25">
      <c r="J24" s="39">
        <f>SUM(J3:J23)</f>
        <v>227.80909999999997</v>
      </c>
      <c r="L24" s="41">
        <f>SUM(L3:L23)</f>
        <v>21</v>
      </c>
      <c r="M24" s="39">
        <f>SUM(M3:M23)</f>
        <v>263.17069999999995</v>
      </c>
      <c r="N24" s="40"/>
    </row>
    <row r="28" spans="1:14" x14ac:dyDescent="0.25">
      <c r="A28" s="34" t="s">
        <v>105</v>
      </c>
      <c r="B28" s="34">
        <v>3220</v>
      </c>
      <c r="C28" s="34">
        <v>5600</v>
      </c>
      <c r="D28" s="34">
        <v>18.03</v>
      </c>
      <c r="E28" s="34" t="s">
        <v>46</v>
      </c>
      <c r="F28" s="34" t="s">
        <v>45</v>
      </c>
      <c r="G28" s="34" t="s">
        <v>106</v>
      </c>
      <c r="H28" s="46">
        <v>3.18</v>
      </c>
      <c r="I28" s="47">
        <v>5.56</v>
      </c>
      <c r="J28" s="39">
        <f>H28*I28</f>
        <v>17.680800000000001</v>
      </c>
      <c r="L28" s="41">
        <v>1</v>
      </c>
      <c r="M28" s="39">
        <f>J28*L28</f>
        <v>17.680800000000001</v>
      </c>
    </row>
    <row r="29" spans="1:14" x14ac:dyDescent="0.25">
      <c r="A29" s="34" t="s">
        <v>105</v>
      </c>
      <c r="B29" s="34">
        <v>3220</v>
      </c>
      <c r="C29" s="34">
        <v>5600</v>
      </c>
      <c r="D29" s="34">
        <v>18.03</v>
      </c>
      <c r="E29" s="34" t="s">
        <v>46</v>
      </c>
      <c r="F29" s="34" t="s">
        <v>47</v>
      </c>
      <c r="G29" s="34" t="s">
        <v>106</v>
      </c>
      <c r="H29" s="46">
        <v>3.18</v>
      </c>
      <c r="I29" s="47">
        <v>5.56</v>
      </c>
      <c r="J29" s="39">
        <f t="shared" ref="J29:J45" si="2">H29*I29</f>
        <v>17.680800000000001</v>
      </c>
      <c r="L29" s="41">
        <v>1</v>
      </c>
      <c r="M29" s="39">
        <f t="shared" ref="M29:M45" si="3">J29*L29</f>
        <v>17.680800000000001</v>
      </c>
    </row>
    <row r="30" spans="1:14" x14ac:dyDescent="0.25">
      <c r="A30" s="34" t="s">
        <v>105</v>
      </c>
      <c r="B30" s="34">
        <v>3510</v>
      </c>
      <c r="C30" s="34">
        <v>5450</v>
      </c>
      <c r="D30" s="34">
        <v>19.13</v>
      </c>
      <c r="E30" s="34" t="s">
        <v>49</v>
      </c>
      <c r="F30" s="34" t="s">
        <v>48</v>
      </c>
      <c r="G30" s="34" t="s">
        <v>106</v>
      </c>
      <c r="H30" s="46">
        <v>3.47</v>
      </c>
      <c r="I30" s="47">
        <v>5.41</v>
      </c>
      <c r="J30" s="39">
        <f t="shared" si="2"/>
        <v>18.7727</v>
      </c>
      <c r="L30" s="41">
        <v>1</v>
      </c>
      <c r="M30" s="39">
        <f t="shared" si="3"/>
        <v>18.7727</v>
      </c>
    </row>
    <row r="31" spans="1:14" x14ac:dyDescent="0.25">
      <c r="A31" s="34" t="s">
        <v>105</v>
      </c>
      <c r="B31" s="34">
        <v>3220</v>
      </c>
      <c r="C31" s="34">
        <v>5450</v>
      </c>
      <c r="D31" s="34">
        <v>17.55</v>
      </c>
      <c r="E31" s="34" t="s">
        <v>51</v>
      </c>
      <c r="F31" s="34" t="s">
        <v>50</v>
      </c>
      <c r="G31" s="34" t="s">
        <v>106</v>
      </c>
      <c r="H31" s="46">
        <v>3.18</v>
      </c>
      <c r="I31" s="47">
        <v>5.41</v>
      </c>
      <c r="J31" s="39">
        <f t="shared" si="2"/>
        <v>17.203800000000001</v>
      </c>
      <c r="L31" s="41">
        <v>1</v>
      </c>
      <c r="M31" s="39">
        <f t="shared" si="3"/>
        <v>17.203800000000001</v>
      </c>
    </row>
    <row r="32" spans="1:14" x14ac:dyDescent="0.25">
      <c r="A32" s="34" t="s">
        <v>105</v>
      </c>
      <c r="B32" s="34">
        <v>3510</v>
      </c>
      <c r="C32" s="34">
        <v>5533</v>
      </c>
      <c r="D32" s="34">
        <v>19.420000000000002</v>
      </c>
      <c r="E32" s="34" t="s">
        <v>53</v>
      </c>
      <c r="F32" s="34" t="s">
        <v>52</v>
      </c>
      <c r="G32" s="34" t="s">
        <v>106</v>
      </c>
      <c r="H32" s="46">
        <v>3.47</v>
      </c>
      <c r="I32" s="47">
        <v>5.51</v>
      </c>
      <c r="J32" s="39">
        <f t="shared" si="2"/>
        <v>19.119700000000002</v>
      </c>
      <c r="L32" s="41">
        <v>1</v>
      </c>
      <c r="M32" s="39">
        <f t="shared" si="3"/>
        <v>19.119700000000002</v>
      </c>
    </row>
    <row r="33" spans="1:13" x14ac:dyDescent="0.25">
      <c r="A33" s="34" t="s">
        <v>105</v>
      </c>
      <c r="B33" s="34">
        <v>3510</v>
      </c>
      <c r="C33" s="34">
        <v>5533</v>
      </c>
      <c r="D33" s="34">
        <v>19.420000000000002</v>
      </c>
      <c r="E33" s="34" t="s">
        <v>53</v>
      </c>
      <c r="F33" s="34" t="s">
        <v>54</v>
      </c>
      <c r="G33" s="34" t="s">
        <v>106</v>
      </c>
      <c r="H33" s="46">
        <v>3.47</v>
      </c>
      <c r="I33" s="47">
        <v>5.51</v>
      </c>
      <c r="J33" s="39">
        <f t="shared" si="2"/>
        <v>19.119700000000002</v>
      </c>
      <c r="L33" s="41">
        <v>1</v>
      </c>
      <c r="M33" s="39">
        <f t="shared" si="3"/>
        <v>19.119700000000002</v>
      </c>
    </row>
    <row r="34" spans="1:13" x14ac:dyDescent="0.25">
      <c r="A34" s="34" t="s">
        <v>105</v>
      </c>
      <c r="B34" s="34">
        <v>3590</v>
      </c>
      <c r="C34" s="34">
        <v>6200</v>
      </c>
      <c r="D34" s="34">
        <v>22.26</v>
      </c>
      <c r="E34" s="34" t="s">
        <v>56</v>
      </c>
      <c r="F34" s="34" t="s">
        <v>55</v>
      </c>
      <c r="G34" s="34" t="s">
        <v>106</v>
      </c>
      <c r="H34" s="46">
        <v>3.47</v>
      </c>
      <c r="I34" s="47">
        <v>6.2</v>
      </c>
      <c r="J34" s="39">
        <f t="shared" si="2"/>
        <v>21.514000000000003</v>
      </c>
      <c r="L34" s="41">
        <v>1</v>
      </c>
      <c r="M34" s="39">
        <f t="shared" si="3"/>
        <v>21.514000000000003</v>
      </c>
    </row>
    <row r="35" spans="1:13" x14ac:dyDescent="0.25">
      <c r="A35" s="34" t="s">
        <v>105</v>
      </c>
      <c r="B35" s="34">
        <v>3220</v>
      </c>
      <c r="C35" s="34">
        <v>1800</v>
      </c>
      <c r="D35" s="34">
        <v>5.8</v>
      </c>
      <c r="E35" s="34" t="s">
        <v>58</v>
      </c>
      <c r="F35" s="34" t="s">
        <v>57</v>
      </c>
      <c r="G35" s="34" t="s">
        <v>106</v>
      </c>
      <c r="H35" s="46">
        <v>3.18</v>
      </c>
      <c r="I35" s="47">
        <v>1.76</v>
      </c>
      <c r="J35" s="39">
        <f t="shared" si="2"/>
        <v>5.5968</v>
      </c>
      <c r="L35" s="41">
        <v>1</v>
      </c>
      <c r="M35" s="39">
        <f t="shared" si="3"/>
        <v>5.5968</v>
      </c>
    </row>
    <row r="36" spans="1:13" x14ac:dyDescent="0.25">
      <c r="A36" s="34" t="s">
        <v>105</v>
      </c>
      <c r="B36" s="34">
        <v>2380</v>
      </c>
      <c r="C36" s="34">
        <v>2180</v>
      </c>
      <c r="D36" s="34">
        <v>5.19</v>
      </c>
      <c r="E36" s="34" t="s">
        <v>108</v>
      </c>
      <c r="F36" s="34" t="s">
        <v>59</v>
      </c>
      <c r="G36" s="34" t="s">
        <v>106</v>
      </c>
      <c r="H36" s="46">
        <v>2.14</v>
      </c>
      <c r="I36" s="47">
        <v>2.34</v>
      </c>
      <c r="J36" s="39">
        <f t="shared" si="2"/>
        <v>5.0076000000000001</v>
      </c>
      <c r="L36" s="41">
        <v>1</v>
      </c>
      <c r="M36" s="39">
        <f t="shared" si="3"/>
        <v>5.0076000000000001</v>
      </c>
    </row>
    <row r="37" spans="1:13" x14ac:dyDescent="0.25">
      <c r="A37" s="34" t="s">
        <v>105</v>
      </c>
      <c r="B37" s="34">
        <v>3220</v>
      </c>
      <c r="C37" s="34">
        <v>1800</v>
      </c>
      <c r="D37" s="34">
        <v>5.8</v>
      </c>
      <c r="E37" s="34" t="s">
        <v>62</v>
      </c>
      <c r="F37" s="34" t="s">
        <v>61</v>
      </c>
      <c r="G37" s="34" t="s">
        <v>106</v>
      </c>
      <c r="H37" s="46">
        <v>3.18</v>
      </c>
      <c r="I37" s="47">
        <v>1.76</v>
      </c>
      <c r="J37" s="39">
        <f t="shared" si="2"/>
        <v>5.5968</v>
      </c>
      <c r="L37" s="41">
        <v>1</v>
      </c>
      <c r="M37" s="39">
        <f t="shared" si="3"/>
        <v>5.5968</v>
      </c>
    </row>
    <row r="38" spans="1:13" x14ac:dyDescent="0.25">
      <c r="A38" s="34" t="s">
        <v>105</v>
      </c>
      <c r="B38" s="34">
        <v>3220</v>
      </c>
      <c r="C38" s="34">
        <v>5600</v>
      </c>
      <c r="D38" s="34">
        <v>18.03</v>
      </c>
      <c r="E38" s="34" t="s">
        <v>64</v>
      </c>
      <c r="F38" s="34" t="s">
        <v>63</v>
      </c>
      <c r="G38" s="34" t="s">
        <v>106</v>
      </c>
      <c r="H38" s="46">
        <v>3.18</v>
      </c>
      <c r="I38" s="47">
        <v>5.56</v>
      </c>
      <c r="J38" s="39">
        <f t="shared" si="2"/>
        <v>17.680800000000001</v>
      </c>
      <c r="L38" s="41">
        <v>1</v>
      </c>
      <c r="M38" s="39">
        <f t="shared" si="3"/>
        <v>17.680800000000001</v>
      </c>
    </row>
    <row r="39" spans="1:13" x14ac:dyDescent="0.25">
      <c r="A39" s="34" t="s">
        <v>105</v>
      </c>
      <c r="B39" s="34">
        <v>3220</v>
      </c>
      <c r="C39" s="34">
        <v>5600</v>
      </c>
      <c r="D39" s="34">
        <v>18.03</v>
      </c>
      <c r="E39" s="34" t="s">
        <v>64</v>
      </c>
      <c r="F39" s="34" t="s">
        <v>63</v>
      </c>
      <c r="G39" s="34" t="s">
        <v>106</v>
      </c>
      <c r="H39" s="46">
        <v>3.18</v>
      </c>
      <c r="I39" s="47">
        <v>5.56</v>
      </c>
      <c r="J39" s="39">
        <f t="shared" si="2"/>
        <v>17.680800000000001</v>
      </c>
      <c r="L39" s="41">
        <v>1</v>
      </c>
      <c r="M39" s="39">
        <f t="shared" si="3"/>
        <v>17.680800000000001</v>
      </c>
    </row>
    <row r="40" spans="1:13" x14ac:dyDescent="0.25">
      <c r="A40" s="34" t="s">
        <v>105</v>
      </c>
      <c r="B40" s="34">
        <v>3220</v>
      </c>
      <c r="C40" s="34">
        <v>5600</v>
      </c>
      <c r="D40" s="34">
        <v>18.03</v>
      </c>
      <c r="E40" s="34" t="s">
        <v>33</v>
      </c>
      <c r="F40" s="34" t="s">
        <v>65</v>
      </c>
      <c r="G40" s="34" t="s">
        <v>106</v>
      </c>
      <c r="H40" s="46">
        <v>3.18</v>
      </c>
      <c r="I40" s="47">
        <v>5.56</v>
      </c>
      <c r="J40" s="39">
        <f t="shared" si="2"/>
        <v>17.680800000000001</v>
      </c>
      <c r="L40" s="41">
        <v>1</v>
      </c>
      <c r="M40" s="39">
        <f t="shared" si="3"/>
        <v>17.680800000000001</v>
      </c>
    </row>
    <row r="41" spans="1:13" x14ac:dyDescent="0.25">
      <c r="A41" s="34" t="s">
        <v>105</v>
      </c>
      <c r="B41" s="34">
        <v>11622</v>
      </c>
      <c r="C41" s="34">
        <v>3400</v>
      </c>
      <c r="D41" s="34">
        <v>39.51</v>
      </c>
      <c r="E41" s="34" t="s">
        <v>67</v>
      </c>
      <c r="F41" s="34" t="s">
        <v>66</v>
      </c>
      <c r="G41" s="34" t="s">
        <v>106</v>
      </c>
      <c r="H41" s="46">
        <v>11.58</v>
      </c>
      <c r="I41" s="47">
        <v>3.36</v>
      </c>
      <c r="J41" s="39">
        <f t="shared" si="2"/>
        <v>38.908799999999999</v>
      </c>
      <c r="L41" s="41">
        <v>1</v>
      </c>
      <c r="M41" s="39">
        <f t="shared" si="3"/>
        <v>38.908799999999999</v>
      </c>
    </row>
    <row r="42" spans="1:13" x14ac:dyDescent="0.25">
      <c r="A42" s="34" t="s">
        <v>105</v>
      </c>
      <c r="B42" s="34">
        <v>13630</v>
      </c>
      <c r="C42" s="34">
        <v>2800</v>
      </c>
      <c r="D42" s="34">
        <v>38.159999999999997</v>
      </c>
      <c r="E42" s="34" t="s">
        <v>69</v>
      </c>
      <c r="F42" s="34" t="s">
        <v>68</v>
      </c>
      <c r="G42" s="34" t="s">
        <v>106</v>
      </c>
      <c r="H42" s="46">
        <v>13.61</v>
      </c>
      <c r="I42" s="47">
        <v>2.76</v>
      </c>
      <c r="J42" s="39">
        <f t="shared" si="2"/>
        <v>37.563599999999994</v>
      </c>
      <c r="L42" s="41">
        <v>1</v>
      </c>
      <c r="M42" s="39">
        <f t="shared" si="3"/>
        <v>37.563599999999994</v>
      </c>
    </row>
    <row r="43" spans="1:13" x14ac:dyDescent="0.25">
      <c r="A43" s="34" t="s">
        <v>105</v>
      </c>
      <c r="B43" s="34">
        <v>11620</v>
      </c>
      <c r="C43" s="34">
        <v>2000</v>
      </c>
      <c r="D43" s="34">
        <v>23.24</v>
      </c>
      <c r="E43" s="34" t="s">
        <v>71</v>
      </c>
      <c r="F43" s="34" t="s">
        <v>70</v>
      </c>
      <c r="G43" s="34" t="s">
        <v>106</v>
      </c>
      <c r="H43" s="46">
        <v>11.58</v>
      </c>
      <c r="I43" s="47">
        <v>1.96</v>
      </c>
      <c r="J43" s="39">
        <f t="shared" si="2"/>
        <v>22.6968</v>
      </c>
      <c r="L43" s="41">
        <v>1</v>
      </c>
      <c r="M43" s="39">
        <f t="shared" si="3"/>
        <v>22.6968</v>
      </c>
    </row>
    <row r="44" spans="1:13" x14ac:dyDescent="0.25">
      <c r="A44" s="34" t="s">
        <v>105</v>
      </c>
      <c r="B44" s="34">
        <v>3200</v>
      </c>
      <c r="C44" s="34">
        <v>2400</v>
      </c>
      <c r="D44" s="34">
        <v>7.68</v>
      </c>
      <c r="E44" s="34" t="s">
        <v>73</v>
      </c>
      <c r="F44" s="34" t="s">
        <v>72</v>
      </c>
      <c r="G44" s="34" t="s">
        <v>106</v>
      </c>
      <c r="H44" s="46">
        <v>3.18</v>
      </c>
      <c r="I44" s="47">
        <v>2.36</v>
      </c>
      <c r="J44" s="39">
        <f t="shared" si="2"/>
        <v>7.5048000000000004</v>
      </c>
      <c r="L44" s="41">
        <v>1</v>
      </c>
      <c r="M44" s="39">
        <f t="shared" si="3"/>
        <v>7.5048000000000004</v>
      </c>
    </row>
    <row r="45" spans="1:13" x14ac:dyDescent="0.25">
      <c r="A45" s="34" t="s">
        <v>105</v>
      </c>
      <c r="B45" s="34">
        <v>15350</v>
      </c>
      <c r="C45" s="34">
        <v>2400</v>
      </c>
      <c r="D45" s="34">
        <v>36.840000000000003</v>
      </c>
      <c r="E45" s="34" t="s">
        <v>75</v>
      </c>
      <c r="F45" s="34" t="s">
        <v>74</v>
      </c>
      <c r="G45" s="34" t="s">
        <v>106</v>
      </c>
      <c r="H45" s="46">
        <v>15.33</v>
      </c>
      <c r="I45" s="47">
        <v>2.36</v>
      </c>
      <c r="J45" s="39">
        <f t="shared" si="2"/>
        <v>36.178799999999995</v>
      </c>
      <c r="L45" s="41">
        <v>1</v>
      </c>
      <c r="M45" s="39">
        <f t="shared" si="3"/>
        <v>36.178799999999995</v>
      </c>
    </row>
    <row r="46" spans="1:13" x14ac:dyDescent="0.25">
      <c r="M46" s="39">
        <f>SUM(M28:M45)</f>
        <v>343.18790000000001</v>
      </c>
    </row>
  </sheetData>
  <mergeCells count="3">
    <mergeCell ref="L4:L5"/>
    <mergeCell ref="L10:L18"/>
    <mergeCell ref="N10:N18"/>
  </mergeCells>
  <pageMargins left="0.7" right="0.7" top="0.75" bottom="0.75" header="0.3" footer="0.3"/>
  <pageSetup paperSize="9" orientation="portrait" r:id="rId1"/>
  <ignoredErrors>
    <ignoredError sqref="M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3" sqref="L13"/>
    </sheetView>
  </sheetViews>
  <sheetFormatPr defaultRowHeight="15" x14ac:dyDescent="0.25"/>
  <sheetData>
    <row r="1" spans="1:1" x14ac:dyDescent="0.25">
      <c r="A1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3"/>
  <sheetViews>
    <sheetView workbookViewId="0">
      <selection activeCell="R16" sqref="R16"/>
    </sheetView>
  </sheetViews>
  <sheetFormatPr defaultRowHeight="15" x14ac:dyDescent="0.25"/>
  <cols>
    <col min="1" max="1" width="9.28515625" style="8" customWidth="1"/>
    <col min="2" max="2" width="42.42578125" style="8" customWidth="1"/>
    <col min="3" max="3" width="64.42578125" style="8" customWidth="1"/>
    <col min="4" max="6" width="7.7109375" style="9" hidden="1" customWidth="1"/>
    <col min="7" max="7" width="6.7109375" style="9" hidden="1" customWidth="1"/>
    <col min="8" max="8" width="7.7109375" style="10" customWidth="1"/>
    <col min="9" max="9" width="14.42578125" style="8" hidden="1" customWidth="1"/>
    <col min="10" max="11" width="14.42578125" style="9" hidden="1" customWidth="1"/>
    <col min="12" max="13" width="9.140625" style="5"/>
    <col min="14" max="14" width="10.140625" style="6" customWidth="1"/>
    <col min="15" max="15" width="10.5703125" style="7" customWidth="1"/>
    <col min="16" max="16384" width="9.140625" style="1"/>
  </cols>
  <sheetData>
    <row r="1" spans="1:24" x14ac:dyDescent="0.25">
      <c r="A1" s="2" t="s">
        <v>7</v>
      </c>
      <c r="B1" s="2" t="s">
        <v>8</v>
      </c>
      <c r="C1" s="2" t="s">
        <v>9</v>
      </c>
      <c r="D1" s="3" t="s">
        <v>10</v>
      </c>
      <c r="E1" s="3" t="s">
        <v>11</v>
      </c>
      <c r="F1" s="3" t="s">
        <v>11</v>
      </c>
      <c r="G1" s="3" t="s">
        <v>11</v>
      </c>
      <c r="H1" s="97" t="s">
        <v>12</v>
      </c>
      <c r="I1" s="99" t="s">
        <v>13</v>
      </c>
      <c r="J1" s="99" t="s">
        <v>14</v>
      </c>
      <c r="K1" s="101" t="s">
        <v>15</v>
      </c>
      <c r="L1" s="103" t="s">
        <v>14</v>
      </c>
      <c r="M1" s="105" t="s">
        <v>15</v>
      </c>
      <c r="N1" s="95" t="s">
        <v>16</v>
      </c>
      <c r="O1" s="96" t="s">
        <v>17</v>
      </c>
    </row>
    <row r="2" spans="1:24" x14ac:dyDescent="0.25">
      <c r="A2" s="2" t="s">
        <v>11</v>
      </c>
      <c r="B2" s="2" t="s">
        <v>11</v>
      </c>
      <c r="C2" s="2" t="s">
        <v>11</v>
      </c>
      <c r="D2" s="3" t="s">
        <v>18</v>
      </c>
      <c r="E2" s="3" t="s">
        <v>19</v>
      </c>
      <c r="F2" s="3" t="s">
        <v>20</v>
      </c>
      <c r="G2" s="3" t="s">
        <v>21</v>
      </c>
      <c r="H2" s="98"/>
      <c r="I2" s="100"/>
      <c r="J2" s="100"/>
      <c r="K2" s="102"/>
      <c r="L2" s="104"/>
      <c r="M2" s="106"/>
      <c r="N2" s="95"/>
      <c r="O2" s="96"/>
    </row>
    <row r="3" spans="1:24" x14ac:dyDescent="0.25">
      <c r="A3" s="11" t="s">
        <v>22</v>
      </c>
      <c r="B3" s="11" t="s">
        <v>23</v>
      </c>
      <c r="C3" s="11" t="s">
        <v>24</v>
      </c>
      <c r="D3" s="12">
        <v>1</v>
      </c>
      <c r="E3" s="12">
        <v>0</v>
      </c>
      <c r="F3" s="12">
        <v>0</v>
      </c>
      <c r="G3" s="12">
        <v>0</v>
      </c>
      <c r="H3" s="13">
        <v>1</v>
      </c>
      <c r="I3" s="11">
        <v>5.38</v>
      </c>
      <c r="J3" s="12">
        <v>2220</v>
      </c>
      <c r="K3" s="12">
        <v>2500</v>
      </c>
      <c r="L3" s="14">
        <f>(J3-40)/1000</f>
        <v>2.1800000000000002</v>
      </c>
      <c r="M3" s="14">
        <v>2.48</v>
      </c>
      <c r="N3" s="15">
        <v>5.38</v>
      </c>
      <c r="O3" s="16">
        <f>N3*H3</f>
        <v>5.38</v>
      </c>
    </row>
    <row r="4" spans="1:24" x14ac:dyDescent="0.25">
      <c r="A4" s="11" t="s">
        <v>25</v>
      </c>
      <c r="B4" s="11" t="s">
        <v>23</v>
      </c>
      <c r="C4" s="11" t="s">
        <v>26</v>
      </c>
      <c r="D4" s="12">
        <v>1</v>
      </c>
      <c r="E4" s="12">
        <v>1</v>
      </c>
      <c r="F4" s="12">
        <v>0</v>
      </c>
      <c r="G4" s="12">
        <v>0</v>
      </c>
      <c r="H4" s="13">
        <v>2</v>
      </c>
      <c r="I4" s="11" t="s">
        <v>27</v>
      </c>
      <c r="J4" s="12">
        <v>4100</v>
      </c>
      <c r="K4" s="12">
        <v>3220</v>
      </c>
      <c r="L4" s="14">
        <v>3.47</v>
      </c>
      <c r="M4" s="14">
        <f t="shared" ref="M4:M29" si="0">(K4-40)/1000</f>
        <v>3.18</v>
      </c>
      <c r="N4" s="15">
        <f t="shared" ref="N4:N13" si="1">L4*M4</f>
        <v>11.034600000000001</v>
      </c>
      <c r="O4" s="16">
        <f>N4*H4</f>
        <v>22.069200000000002</v>
      </c>
    </row>
    <row r="5" spans="1:24" x14ac:dyDescent="0.25">
      <c r="A5" s="11" t="s">
        <v>28</v>
      </c>
      <c r="B5" s="11" t="s">
        <v>23</v>
      </c>
      <c r="C5" s="11" t="s">
        <v>29</v>
      </c>
      <c r="D5" s="12">
        <v>1</v>
      </c>
      <c r="E5" s="12">
        <v>0</v>
      </c>
      <c r="F5" s="12">
        <v>0</v>
      </c>
      <c r="G5" s="12">
        <v>0</v>
      </c>
      <c r="H5" s="13">
        <v>1</v>
      </c>
      <c r="I5" s="11">
        <v>8.42</v>
      </c>
      <c r="J5" s="12">
        <v>2400</v>
      </c>
      <c r="K5" s="12">
        <v>3510</v>
      </c>
      <c r="L5" s="14">
        <f t="shared" ref="L5:L31" si="2">(J5-40)/1000</f>
        <v>2.36</v>
      </c>
      <c r="M5" s="14">
        <f t="shared" si="0"/>
        <v>3.47</v>
      </c>
      <c r="N5" s="15">
        <f t="shared" si="1"/>
        <v>8.1891999999999996</v>
      </c>
      <c r="O5" s="16">
        <f t="shared" ref="O5:O31" si="3">N5*H5</f>
        <v>8.1891999999999996</v>
      </c>
    </row>
    <row r="6" spans="1:24" x14ac:dyDescent="0.25">
      <c r="A6" s="11" t="s">
        <v>30</v>
      </c>
      <c r="B6" s="11" t="s">
        <v>23</v>
      </c>
      <c r="C6" s="11" t="s">
        <v>31</v>
      </c>
      <c r="D6" s="12">
        <v>1</v>
      </c>
      <c r="E6" s="12">
        <v>0</v>
      </c>
      <c r="F6" s="12">
        <v>0</v>
      </c>
      <c r="G6" s="12">
        <v>0</v>
      </c>
      <c r="H6" s="13">
        <v>1</v>
      </c>
      <c r="I6" s="11">
        <v>13.11</v>
      </c>
      <c r="J6" s="12">
        <v>4070</v>
      </c>
      <c r="K6" s="12">
        <v>3220</v>
      </c>
      <c r="L6" s="14">
        <f t="shared" si="2"/>
        <v>4.03</v>
      </c>
      <c r="M6" s="14">
        <f t="shared" si="0"/>
        <v>3.18</v>
      </c>
      <c r="N6" s="15">
        <f t="shared" si="1"/>
        <v>12.815400000000002</v>
      </c>
      <c r="O6" s="16">
        <f t="shared" si="3"/>
        <v>12.815400000000002</v>
      </c>
    </row>
    <row r="7" spans="1:24" x14ac:dyDescent="0.25">
      <c r="A7" s="2" t="s">
        <v>32</v>
      </c>
      <c r="B7" s="2" t="s">
        <v>23</v>
      </c>
      <c r="C7" s="2" t="s">
        <v>33</v>
      </c>
      <c r="D7" s="3">
        <v>1</v>
      </c>
      <c r="E7" s="3">
        <v>0</v>
      </c>
      <c r="F7" s="3">
        <v>0</v>
      </c>
      <c r="G7" s="3">
        <v>0</v>
      </c>
      <c r="H7" s="4">
        <v>1</v>
      </c>
      <c r="I7" s="2">
        <v>18.03</v>
      </c>
      <c r="J7" s="3">
        <v>5600</v>
      </c>
      <c r="K7" s="3">
        <v>3220</v>
      </c>
      <c r="L7" s="5">
        <f t="shared" si="2"/>
        <v>5.56</v>
      </c>
      <c r="M7" s="5">
        <f t="shared" si="0"/>
        <v>3.18</v>
      </c>
      <c r="N7" s="6">
        <f>L7*M7</f>
        <v>17.680800000000001</v>
      </c>
      <c r="O7" s="7">
        <f t="shared" si="3"/>
        <v>17.680800000000001</v>
      </c>
    </row>
    <row r="8" spans="1:24" x14ac:dyDescent="0.25">
      <c r="A8" s="2" t="s">
        <v>34</v>
      </c>
      <c r="B8" s="2" t="s">
        <v>23</v>
      </c>
      <c r="C8" s="2" t="s">
        <v>35</v>
      </c>
      <c r="D8" s="3">
        <v>1</v>
      </c>
      <c r="E8" s="3">
        <v>0</v>
      </c>
      <c r="F8" s="3">
        <v>0</v>
      </c>
      <c r="G8" s="3">
        <v>0</v>
      </c>
      <c r="H8" s="4">
        <v>1</v>
      </c>
      <c r="I8" s="2">
        <v>18.03</v>
      </c>
      <c r="J8" s="3">
        <v>5600</v>
      </c>
      <c r="K8" s="3">
        <v>3220</v>
      </c>
      <c r="L8" s="5">
        <f t="shared" si="2"/>
        <v>5.56</v>
      </c>
      <c r="M8" s="5">
        <f t="shared" si="0"/>
        <v>3.18</v>
      </c>
      <c r="N8" s="6">
        <f t="shared" si="1"/>
        <v>17.680800000000001</v>
      </c>
      <c r="O8" s="7">
        <f t="shared" si="3"/>
        <v>17.680800000000001</v>
      </c>
    </row>
    <row r="9" spans="1:24" x14ac:dyDescent="0.25">
      <c r="A9" s="11" t="s">
        <v>36</v>
      </c>
      <c r="B9" s="11" t="s">
        <v>23</v>
      </c>
      <c r="C9" s="11" t="s">
        <v>37</v>
      </c>
      <c r="D9" s="12">
        <v>1</v>
      </c>
      <c r="E9" s="12">
        <v>2</v>
      </c>
      <c r="F9" s="12">
        <v>4</v>
      </c>
      <c r="G9" s="12">
        <v>2</v>
      </c>
      <c r="H9" s="13">
        <v>9</v>
      </c>
      <c r="I9" s="11">
        <v>13.2</v>
      </c>
      <c r="J9" s="12">
        <v>4100</v>
      </c>
      <c r="K9" s="12">
        <v>3220</v>
      </c>
      <c r="L9" s="14">
        <f t="shared" si="2"/>
        <v>4.0599999999999996</v>
      </c>
      <c r="M9" s="14">
        <f t="shared" si="0"/>
        <v>3.18</v>
      </c>
      <c r="N9" s="15">
        <f t="shared" si="1"/>
        <v>12.9108</v>
      </c>
      <c r="O9" s="16">
        <f t="shared" si="3"/>
        <v>116.1972</v>
      </c>
    </row>
    <row r="10" spans="1:24" x14ac:dyDescent="0.25">
      <c r="A10" s="11" t="s">
        <v>38</v>
      </c>
      <c r="B10" s="11" t="s">
        <v>23</v>
      </c>
      <c r="C10" s="11" t="s">
        <v>39</v>
      </c>
      <c r="D10" s="12">
        <v>0</v>
      </c>
      <c r="E10" s="12">
        <v>1</v>
      </c>
      <c r="F10" s="12">
        <v>0</v>
      </c>
      <c r="G10" s="12">
        <v>0</v>
      </c>
      <c r="H10" s="13">
        <v>1</v>
      </c>
      <c r="I10" s="11">
        <v>14.37</v>
      </c>
      <c r="J10" s="12">
        <v>4090</v>
      </c>
      <c r="K10" s="12">
        <v>3510</v>
      </c>
      <c r="L10" s="14">
        <f t="shared" si="2"/>
        <v>4.05</v>
      </c>
      <c r="M10" s="14">
        <f t="shared" si="0"/>
        <v>3.47</v>
      </c>
      <c r="N10" s="15">
        <f t="shared" si="1"/>
        <v>14.0535</v>
      </c>
      <c r="O10" s="16">
        <f t="shared" si="3"/>
        <v>14.0535</v>
      </c>
    </row>
    <row r="11" spans="1:24" x14ac:dyDescent="0.25">
      <c r="A11" s="11" t="s">
        <v>40</v>
      </c>
      <c r="B11" s="11" t="s">
        <v>23</v>
      </c>
      <c r="C11" s="11" t="s">
        <v>41</v>
      </c>
      <c r="D11" s="12">
        <v>0</v>
      </c>
      <c r="E11" s="12">
        <v>2</v>
      </c>
      <c r="F11" s="12">
        <v>0</v>
      </c>
      <c r="G11" s="12">
        <v>0</v>
      </c>
      <c r="H11" s="13">
        <v>2</v>
      </c>
      <c r="I11" s="11">
        <v>9.98</v>
      </c>
      <c r="J11" s="12">
        <v>3100</v>
      </c>
      <c r="K11" s="12">
        <v>3220</v>
      </c>
      <c r="L11" s="14">
        <f t="shared" si="2"/>
        <v>3.06</v>
      </c>
      <c r="M11" s="14">
        <f t="shared" si="0"/>
        <v>3.18</v>
      </c>
      <c r="N11" s="15">
        <f t="shared" si="1"/>
        <v>9.7308000000000003</v>
      </c>
      <c r="O11" s="16">
        <f t="shared" si="3"/>
        <v>19.461600000000001</v>
      </c>
    </row>
    <row r="12" spans="1:24" x14ac:dyDescent="0.25">
      <c r="A12" s="11" t="s">
        <v>42</v>
      </c>
      <c r="B12" s="11" t="s">
        <v>23</v>
      </c>
      <c r="C12" s="11" t="s">
        <v>43</v>
      </c>
      <c r="D12" s="12">
        <v>0</v>
      </c>
      <c r="E12" s="12">
        <v>0</v>
      </c>
      <c r="F12" s="12">
        <v>1</v>
      </c>
      <c r="G12" s="12">
        <v>0</v>
      </c>
      <c r="H12" s="13">
        <v>1</v>
      </c>
      <c r="I12" s="11">
        <v>11.88</v>
      </c>
      <c r="J12" s="12">
        <v>3690</v>
      </c>
      <c r="K12" s="12">
        <v>3220</v>
      </c>
      <c r="L12" s="14">
        <f t="shared" si="2"/>
        <v>3.65</v>
      </c>
      <c r="M12" s="14">
        <f t="shared" si="0"/>
        <v>3.18</v>
      </c>
      <c r="N12" s="15">
        <f t="shared" si="1"/>
        <v>11.607000000000001</v>
      </c>
      <c r="O12" s="16">
        <f t="shared" si="3"/>
        <v>11.607000000000001</v>
      </c>
    </row>
    <row r="13" spans="1:24" x14ac:dyDescent="0.25">
      <c r="A13" s="11" t="s">
        <v>44</v>
      </c>
      <c r="B13" s="11" t="s">
        <v>23</v>
      </c>
      <c r="C13" s="11" t="s">
        <v>37</v>
      </c>
      <c r="D13" s="12">
        <v>0</v>
      </c>
      <c r="E13" s="12">
        <v>1</v>
      </c>
      <c r="F13" s="12">
        <v>0</v>
      </c>
      <c r="G13" s="12">
        <v>0</v>
      </c>
      <c r="H13" s="13">
        <v>1</v>
      </c>
      <c r="I13" s="11">
        <v>13.18</v>
      </c>
      <c r="J13" s="12">
        <v>3755</v>
      </c>
      <c r="K13" s="12">
        <v>3510</v>
      </c>
      <c r="L13" s="14">
        <v>3.71</v>
      </c>
      <c r="M13" s="14">
        <v>3.18</v>
      </c>
      <c r="N13" s="15">
        <f t="shared" si="1"/>
        <v>11.797800000000001</v>
      </c>
      <c r="O13" s="16">
        <f t="shared" si="3"/>
        <v>11.797800000000001</v>
      </c>
    </row>
    <row r="14" spans="1:24" x14ac:dyDescent="0.25">
      <c r="A14" s="2"/>
      <c r="B14" s="2"/>
      <c r="C14" s="2"/>
      <c r="D14" s="3"/>
      <c r="E14" s="3"/>
      <c r="F14" s="3"/>
      <c r="G14" s="3"/>
      <c r="H14" s="4"/>
      <c r="I14" s="2"/>
      <c r="J14" s="3"/>
      <c r="K14" s="3"/>
      <c r="O14" s="6">
        <f>SUM(O3:O13)</f>
        <v>256.9325</v>
      </c>
    </row>
    <row r="15" spans="1:24" x14ac:dyDescent="0.25">
      <c r="A15" s="2" t="s">
        <v>45</v>
      </c>
      <c r="B15" s="2" t="s">
        <v>23</v>
      </c>
      <c r="C15" s="2" t="s">
        <v>46</v>
      </c>
      <c r="D15" s="3">
        <v>1</v>
      </c>
      <c r="E15" s="3">
        <v>0</v>
      </c>
      <c r="F15" s="3">
        <v>0</v>
      </c>
      <c r="G15" s="3">
        <v>0</v>
      </c>
      <c r="H15" s="4">
        <v>1</v>
      </c>
      <c r="I15" s="2">
        <v>18.03</v>
      </c>
      <c r="J15" s="3">
        <v>5600</v>
      </c>
      <c r="K15" s="3">
        <v>3220</v>
      </c>
      <c r="L15" s="5">
        <f t="shared" si="2"/>
        <v>5.56</v>
      </c>
      <c r="M15" s="5">
        <f t="shared" si="0"/>
        <v>3.18</v>
      </c>
      <c r="N15" s="6">
        <f>L15*M15</f>
        <v>17.680800000000001</v>
      </c>
      <c r="O15" s="7">
        <f t="shared" si="3"/>
        <v>17.680800000000001</v>
      </c>
      <c r="R15" s="1" t="str">
        <f>_xlfn.CONCAT(A15, C15)</f>
        <v>ВН-1Витраж 3180(h)х5560, дверь 1850х2200(h)</v>
      </c>
      <c r="X15" s="1" t="str">
        <f>R15</f>
        <v>ВН-1Витраж 3180(h)х5560, дверь 1850х2200(h)</v>
      </c>
    </row>
    <row r="16" spans="1:24" x14ac:dyDescent="0.25">
      <c r="A16" s="2" t="s">
        <v>47</v>
      </c>
      <c r="B16" s="2" t="s">
        <v>23</v>
      </c>
      <c r="C16" s="2" t="s">
        <v>46</v>
      </c>
      <c r="D16" s="3">
        <v>1</v>
      </c>
      <c r="E16" s="3">
        <v>0</v>
      </c>
      <c r="F16" s="3">
        <v>0</v>
      </c>
      <c r="G16" s="3">
        <v>0</v>
      </c>
      <c r="H16" s="4">
        <v>1</v>
      </c>
      <c r="I16" s="2">
        <v>18.03</v>
      </c>
      <c r="J16" s="3">
        <v>5600</v>
      </c>
      <c r="K16" s="3">
        <v>3220</v>
      </c>
      <c r="L16" s="5">
        <f t="shared" si="2"/>
        <v>5.56</v>
      </c>
      <c r="M16" s="5">
        <f t="shared" si="0"/>
        <v>3.18</v>
      </c>
      <c r="N16" s="6">
        <f>L16*M16</f>
        <v>17.680800000000001</v>
      </c>
      <c r="O16" s="7">
        <f t="shared" si="3"/>
        <v>17.680800000000001</v>
      </c>
      <c r="R16" s="1" t="str">
        <f t="shared" ref="R16:R31" si="4">_xlfn.CONCAT(A16, C16)</f>
        <v>ВН-1/1Витраж 3180(h)х5560, дверь 1850х2200(h)</v>
      </c>
      <c r="X16" s="1" t="str">
        <f t="shared" ref="X16:X31" si="5">R16</f>
        <v>ВН-1/1Витраж 3180(h)х5560, дверь 1850х2200(h)</v>
      </c>
    </row>
    <row r="17" spans="1:24" x14ac:dyDescent="0.25">
      <c r="A17" s="2" t="s">
        <v>48</v>
      </c>
      <c r="B17" s="2" t="s">
        <v>23</v>
      </c>
      <c r="C17" s="2" t="s">
        <v>49</v>
      </c>
      <c r="D17" s="3">
        <v>1</v>
      </c>
      <c r="E17" s="3">
        <v>0</v>
      </c>
      <c r="F17" s="3">
        <v>0</v>
      </c>
      <c r="G17" s="3">
        <v>0</v>
      </c>
      <c r="H17" s="4">
        <v>1</v>
      </c>
      <c r="I17" s="2">
        <v>19.13</v>
      </c>
      <c r="J17" s="3">
        <v>5450</v>
      </c>
      <c r="K17" s="3">
        <v>3510</v>
      </c>
      <c r="L17" s="5">
        <f t="shared" si="2"/>
        <v>5.41</v>
      </c>
      <c r="M17" s="5">
        <f t="shared" si="0"/>
        <v>3.47</v>
      </c>
      <c r="N17" s="6">
        <f>L17*M17</f>
        <v>18.7727</v>
      </c>
      <c r="O17" s="7">
        <f t="shared" si="3"/>
        <v>18.7727</v>
      </c>
      <c r="R17" s="1" t="str">
        <f t="shared" si="4"/>
        <v>ВН-2Витраж 3470(h)х5410, дверь 1700х2200(h) - 2шт.</v>
      </c>
      <c r="X17" s="1" t="str">
        <f t="shared" si="5"/>
        <v>ВН-2Витраж 3470(h)х5410, дверь 1700х2200(h) - 2шт.</v>
      </c>
    </row>
    <row r="18" spans="1:24" x14ac:dyDescent="0.25">
      <c r="A18" s="2" t="s">
        <v>50</v>
      </c>
      <c r="B18" s="2" t="s">
        <v>23</v>
      </c>
      <c r="C18" s="2" t="s">
        <v>51</v>
      </c>
      <c r="D18" s="3">
        <v>1</v>
      </c>
      <c r="E18" s="3">
        <v>0</v>
      </c>
      <c r="F18" s="3">
        <v>0</v>
      </c>
      <c r="G18" s="3">
        <v>0</v>
      </c>
      <c r="H18" s="4">
        <v>1</v>
      </c>
      <c r="I18" s="2">
        <v>17.55</v>
      </c>
      <c r="J18" s="3">
        <v>5450</v>
      </c>
      <c r="K18" s="3">
        <v>3220</v>
      </c>
      <c r="L18" s="5">
        <f t="shared" si="2"/>
        <v>5.41</v>
      </c>
      <c r="M18" s="5">
        <f t="shared" si="0"/>
        <v>3.18</v>
      </c>
      <c r="N18" s="6">
        <f>L18*M18</f>
        <v>17.203800000000001</v>
      </c>
      <c r="O18" s="7">
        <f t="shared" si="3"/>
        <v>17.203800000000001</v>
      </c>
      <c r="R18" s="1" t="str">
        <f t="shared" si="4"/>
        <v>ВН-3Витраж 3180(h)х5410, дверь 1700х2200(h) - 2 шт.</v>
      </c>
      <c r="X18" s="1" t="str">
        <f t="shared" si="5"/>
        <v>ВН-3Витраж 3180(h)х5410, дверь 1700х2200(h) - 2 шт.</v>
      </c>
    </row>
    <row r="19" spans="1:24" x14ac:dyDescent="0.25">
      <c r="A19" s="2" t="s">
        <v>52</v>
      </c>
      <c r="B19" s="2" t="s">
        <v>23</v>
      </c>
      <c r="C19" s="2" t="s">
        <v>53</v>
      </c>
      <c r="D19" s="3">
        <v>1</v>
      </c>
      <c r="E19" s="3">
        <v>0</v>
      </c>
      <c r="F19" s="3">
        <v>0</v>
      </c>
      <c r="G19" s="3">
        <v>0</v>
      </c>
      <c r="H19" s="4">
        <v>1</v>
      </c>
      <c r="I19" s="2">
        <v>19.420000000000002</v>
      </c>
      <c r="J19" s="3">
        <v>5533</v>
      </c>
      <c r="K19" s="3">
        <v>3510</v>
      </c>
      <c r="L19" s="5">
        <v>5.51</v>
      </c>
      <c r="M19" s="5">
        <v>3.47</v>
      </c>
      <c r="N19" s="6">
        <f t="shared" ref="N19:N31" si="6">L19*M19</f>
        <v>19.119700000000002</v>
      </c>
      <c r="O19" s="7">
        <f t="shared" si="3"/>
        <v>19.119700000000002</v>
      </c>
      <c r="R19" s="1" t="str">
        <f t="shared" si="4"/>
        <v>ВН-4Витраж 3470(h)х5510, дверь 1850х2200(h)</v>
      </c>
      <c r="X19" s="1" t="str">
        <f t="shared" si="5"/>
        <v>ВН-4Витраж 3470(h)х5510, дверь 1850х2200(h)</v>
      </c>
    </row>
    <row r="20" spans="1:24" x14ac:dyDescent="0.25">
      <c r="A20" s="2" t="s">
        <v>54</v>
      </c>
      <c r="B20" s="2" t="s">
        <v>23</v>
      </c>
      <c r="C20" s="2" t="s">
        <v>53</v>
      </c>
      <c r="D20" s="3">
        <v>1</v>
      </c>
      <c r="E20" s="3">
        <v>0</v>
      </c>
      <c r="F20" s="3">
        <v>0</v>
      </c>
      <c r="G20" s="3">
        <v>0</v>
      </c>
      <c r="H20" s="4">
        <v>1</v>
      </c>
      <c r="I20" s="2">
        <v>19.420000000000002</v>
      </c>
      <c r="J20" s="3">
        <v>5533</v>
      </c>
      <c r="K20" s="3">
        <v>3510</v>
      </c>
      <c r="L20" s="5">
        <v>5.51</v>
      </c>
      <c r="M20" s="5">
        <v>3.47</v>
      </c>
      <c r="N20" s="6">
        <f t="shared" si="6"/>
        <v>19.119700000000002</v>
      </c>
      <c r="O20" s="7">
        <f t="shared" si="3"/>
        <v>19.119700000000002</v>
      </c>
      <c r="R20" s="1" t="str">
        <f t="shared" si="4"/>
        <v>ВН-4/1Витраж 3470(h)х5510, дверь 1850х2200(h)</v>
      </c>
      <c r="X20" s="1" t="str">
        <f t="shared" si="5"/>
        <v>ВН-4/1Витраж 3470(h)х5510, дверь 1850х2200(h)</v>
      </c>
    </row>
    <row r="21" spans="1:24" x14ac:dyDescent="0.25">
      <c r="A21" s="2" t="s">
        <v>55</v>
      </c>
      <c r="B21" s="2" t="s">
        <v>23</v>
      </c>
      <c r="C21" s="2" t="s">
        <v>56</v>
      </c>
      <c r="D21" s="3">
        <v>1</v>
      </c>
      <c r="E21" s="3">
        <v>0</v>
      </c>
      <c r="F21" s="3">
        <v>0</v>
      </c>
      <c r="G21" s="3">
        <v>0</v>
      </c>
      <c r="H21" s="4">
        <v>1</v>
      </c>
      <c r="I21" s="2">
        <v>22.26</v>
      </c>
      <c r="J21" s="3">
        <v>6200</v>
      </c>
      <c r="K21" s="3">
        <v>3590</v>
      </c>
      <c r="L21" s="5">
        <v>6.2</v>
      </c>
      <c r="M21" s="5">
        <v>3.47</v>
      </c>
      <c r="N21" s="6">
        <f t="shared" si="6"/>
        <v>21.514000000000003</v>
      </c>
      <c r="O21" s="7">
        <f t="shared" si="3"/>
        <v>21.514000000000003</v>
      </c>
      <c r="R21" s="1" t="str">
        <f t="shared" si="4"/>
        <v>ВН-5Витраж 3470(h)х6200</v>
      </c>
      <c r="X21" s="1" t="str">
        <f t="shared" si="5"/>
        <v>ВН-5Витраж 3470(h)х6200</v>
      </c>
    </row>
    <row r="22" spans="1:24" x14ac:dyDescent="0.25">
      <c r="A22" s="2" t="s">
        <v>57</v>
      </c>
      <c r="B22" s="2" t="s">
        <v>23</v>
      </c>
      <c r="C22" s="2" t="s">
        <v>58</v>
      </c>
      <c r="D22" s="3">
        <v>1</v>
      </c>
      <c r="E22" s="3">
        <v>0</v>
      </c>
      <c r="F22" s="3">
        <v>0</v>
      </c>
      <c r="G22" s="3">
        <v>0</v>
      </c>
      <c r="H22" s="4">
        <v>1</v>
      </c>
      <c r="I22" s="2">
        <v>5.8</v>
      </c>
      <c r="J22" s="3">
        <v>1800</v>
      </c>
      <c r="K22" s="3">
        <v>3220</v>
      </c>
      <c r="L22" s="5">
        <f t="shared" si="2"/>
        <v>1.76</v>
      </c>
      <c r="M22" s="5">
        <f t="shared" si="0"/>
        <v>3.18</v>
      </c>
      <c r="N22" s="6">
        <f t="shared" si="6"/>
        <v>5.5968</v>
      </c>
      <c r="O22" s="7">
        <f t="shared" si="3"/>
        <v>5.5968</v>
      </c>
      <c r="R22" s="1" t="str">
        <f t="shared" si="4"/>
        <v>ВН-6Витраж 3180(h)х1760, дверь 1700х2200(h)</v>
      </c>
      <c r="X22" s="1" t="str">
        <f t="shared" si="5"/>
        <v>ВН-6Витраж 3180(h)х1760, дверь 1700х2200(h)</v>
      </c>
    </row>
    <row r="23" spans="1:24" x14ac:dyDescent="0.25">
      <c r="A23" s="2" t="s">
        <v>59</v>
      </c>
      <c r="B23" s="2" t="s">
        <v>23</v>
      </c>
      <c r="C23" s="2" t="s">
        <v>60</v>
      </c>
      <c r="D23" s="3">
        <v>1</v>
      </c>
      <c r="E23" s="3">
        <v>0</v>
      </c>
      <c r="F23" s="3">
        <v>0</v>
      </c>
      <c r="G23" s="3">
        <v>0</v>
      </c>
      <c r="H23" s="4">
        <v>1</v>
      </c>
      <c r="I23" s="2">
        <v>5.19</v>
      </c>
      <c r="J23" s="3">
        <v>2180</v>
      </c>
      <c r="K23" s="3">
        <v>2380</v>
      </c>
      <c r="L23" s="5">
        <f t="shared" si="2"/>
        <v>2.14</v>
      </c>
      <c r="M23" s="5">
        <f t="shared" si="0"/>
        <v>2.34</v>
      </c>
      <c r="N23" s="6">
        <f t="shared" si="6"/>
        <v>5.0076000000000001</v>
      </c>
      <c r="O23" s="7">
        <f t="shared" si="3"/>
        <v>5.0076000000000001</v>
      </c>
      <c r="R23" s="1" t="str">
        <f t="shared" si="4"/>
        <v>ВН-7Витраж 2340(h)х2140, дверь 1750х2140(h)</v>
      </c>
      <c r="X23" s="1" t="str">
        <f t="shared" si="5"/>
        <v>ВН-7Витраж 2340(h)х2140, дверь 1750х2140(h)</v>
      </c>
    </row>
    <row r="24" spans="1:24" x14ac:dyDescent="0.25">
      <c r="A24" s="2" t="s">
        <v>61</v>
      </c>
      <c r="B24" s="2" t="s">
        <v>23</v>
      </c>
      <c r="C24" s="2" t="s">
        <v>62</v>
      </c>
      <c r="D24" s="3">
        <v>1</v>
      </c>
      <c r="E24" s="3">
        <v>0</v>
      </c>
      <c r="F24" s="3">
        <v>0</v>
      </c>
      <c r="G24" s="3">
        <v>0</v>
      </c>
      <c r="H24" s="4">
        <v>1</v>
      </c>
      <c r="I24" s="2">
        <v>5.8</v>
      </c>
      <c r="J24" s="3">
        <v>1800</v>
      </c>
      <c r="K24" s="3">
        <v>3220</v>
      </c>
      <c r="L24" s="5">
        <f t="shared" si="2"/>
        <v>1.76</v>
      </c>
      <c r="M24" s="5">
        <f t="shared" si="0"/>
        <v>3.18</v>
      </c>
      <c r="N24" s="6">
        <f t="shared" si="6"/>
        <v>5.5968</v>
      </c>
      <c r="O24" s="7">
        <f t="shared" si="3"/>
        <v>5.5968</v>
      </c>
      <c r="R24" s="1" t="str">
        <f t="shared" si="4"/>
        <v>ВН-8Витраж 3180(h)х1760, дверь 1620х2200(h)</v>
      </c>
      <c r="X24" s="1" t="str">
        <f t="shared" si="5"/>
        <v>ВН-8Витраж 3180(h)х1760, дверь 1620х2200(h)</v>
      </c>
    </row>
    <row r="25" spans="1:24" x14ac:dyDescent="0.25">
      <c r="A25" s="2" t="s">
        <v>63</v>
      </c>
      <c r="B25" s="2" t="s">
        <v>23</v>
      </c>
      <c r="C25" s="2" t="s">
        <v>64</v>
      </c>
      <c r="D25" s="3">
        <v>2</v>
      </c>
      <c r="E25" s="3">
        <v>0</v>
      </c>
      <c r="F25" s="3">
        <v>0</v>
      </c>
      <c r="G25" s="3">
        <v>0</v>
      </c>
      <c r="H25" s="4">
        <v>2</v>
      </c>
      <c r="I25" s="2">
        <v>18.03</v>
      </c>
      <c r="J25" s="3">
        <v>5600</v>
      </c>
      <c r="K25" s="3">
        <v>3220</v>
      </c>
      <c r="L25" s="5">
        <f t="shared" si="2"/>
        <v>5.56</v>
      </c>
      <c r="M25" s="5">
        <f t="shared" si="0"/>
        <v>3.18</v>
      </c>
      <c r="N25" s="6">
        <f t="shared" si="6"/>
        <v>17.680800000000001</v>
      </c>
      <c r="O25" s="7">
        <f t="shared" si="3"/>
        <v>35.361600000000003</v>
      </c>
      <c r="R25" s="1" t="str">
        <f t="shared" si="4"/>
        <v>ВН-9Витраж 3180(h)х5560</v>
      </c>
      <c r="X25" s="1" t="str">
        <f t="shared" si="5"/>
        <v>ВН-9Витраж 3180(h)х5560</v>
      </c>
    </row>
    <row r="26" spans="1:24" x14ac:dyDescent="0.25">
      <c r="A26" s="2" t="s">
        <v>65</v>
      </c>
      <c r="B26" s="2" t="s">
        <v>23</v>
      </c>
      <c r="C26" s="2" t="s">
        <v>33</v>
      </c>
      <c r="D26" s="3">
        <v>1</v>
      </c>
      <c r="E26" s="3">
        <v>0</v>
      </c>
      <c r="F26" s="3">
        <v>0</v>
      </c>
      <c r="G26" s="3">
        <v>0</v>
      </c>
      <c r="H26" s="4">
        <v>1</v>
      </c>
      <c r="I26" s="2">
        <v>18.03</v>
      </c>
      <c r="J26" s="3">
        <v>5600</v>
      </c>
      <c r="K26" s="3">
        <v>3220</v>
      </c>
      <c r="L26" s="5">
        <f t="shared" si="2"/>
        <v>5.56</v>
      </c>
      <c r="M26" s="5">
        <f t="shared" si="0"/>
        <v>3.18</v>
      </c>
      <c r="N26" s="6">
        <f t="shared" si="6"/>
        <v>17.680800000000001</v>
      </c>
      <c r="O26" s="7">
        <f t="shared" si="3"/>
        <v>17.680800000000001</v>
      </c>
      <c r="R26" s="1" t="str">
        <f t="shared" si="4"/>
        <v>ВН-10Витраж 3180(h)х5560, дверь 1750х2200(h)</v>
      </c>
      <c r="X26" s="1" t="str">
        <f t="shared" si="5"/>
        <v>ВН-10Витраж 3180(h)х5560, дверь 1750х2200(h)</v>
      </c>
    </row>
    <row r="27" spans="1:24" x14ac:dyDescent="0.25">
      <c r="A27" s="2" t="s">
        <v>66</v>
      </c>
      <c r="B27" s="2" t="s">
        <v>23</v>
      </c>
      <c r="C27" s="2" t="s">
        <v>67</v>
      </c>
      <c r="D27" s="3">
        <v>1</v>
      </c>
      <c r="E27" s="3">
        <v>0</v>
      </c>
      <c r="F27" s="3">
        <v>0</v>
      </c>
      <c r="G27" s="3">
        <v>0</v>
      </c>
      <c r="H27" s="4">
        <v>1</v>
      </c>
      <c r="I27" s="2">
        <v>39.51</v>
      </c>
      <c r="J27" s="3">
        <v>3400</v>
      </c>
      <c r="K27" s="3">
        <v>11622</v>
      </c>
      <c r="L27" s="5">
        <f t="shared" si="2"/>
        <v>3.36</v>
      </c>
      <c r="M27" s="5">
        <v>11.58</v>
      </c>
      <c r="N27" s="6">
        <f t="shared" si="6"/>
        <v>38.908799999999999</v>
      </c>
      <c r="O27" s="7">
        <f t="shared" si="3"/>
        <v>38.908799999999999</v>
      </c>
      <c r="R27" s="1" t="str">
        <f t="shared" si="4"/>
        <v>ВН-11Витраж 11580(h)х3360, дверь 1850х2200(h)</v>
      </c>
      <c r="X27" s="1" t="str">
        <f t="shared" si="5"/>
        <v>ВН-11Витраж 11580(h)х3360, дверь 1850х2200(h)</v>
      </c>
    </row>
    <row r="28" spans="1:24" x14ac:dyDescent="0.25">
      <c r="A28" s="2" t="s">
        <v>68</v>
      </c>
      <c r="B28" s="2" t="s">
        <v>23</v>
      </c>
      <c r="C28" s="2" t="s">
        <v>69</v>
      </c>
      <c r="D28" s="3">
        <v>1</v>
      </c>
      <c r="E28" s="3">
        <v>0</v>
      </c>
      <c r="F28" s="3">
        <v>0</v>
      </c>
      <c r="G28" s="3">
        <v>0</v>
      </c>
      <c r="H28" s="4">
        <v>1</v>
      </c>
      <c r="I28" s="2">
        <v>38.159999999999997</v>
      </c>
      <c r="J28" s="3">
        <v>2800</v>
      </c>
      <c r="K28" s="3">
        <v>13630</v>
      </c>
      <c r="L28" s="5">
        <f t="shared" si="2"/>
        <v>2.76</v>
      </c>
      <c r="M28" s="5">
        <v>13.61</v>
      </c>
      <c r="N28" s="6">
        <f t="shared" si="6"/>
        <v>37.563599999999994</v>
      </c>
      <c r="O28" s="7">
        <f t="shared" si="3"/>
        <v>37.563599999999994</v>
      </c>
      <c r="R28" s="1" t="str">
        <f t="shared" si="4"/>
        <v>ВН-12Витраж 13610(h)х2760, дверь 1850х2200(h)</v>
      </c>
      <c r="X28" s="1" t="str">
        <f t="shared" si="5"/>
        <v>ВН-12Витраж 13610(h)х2760, дверь 1850х2200(h)</v>
      </c>
    </row>
    <row r="29" spans="1:24" x14ac:dyDescent="0.25">
      <c r="A29" s="2" t="s">
        <v>70</v>
      </c>
      <c r="B29" s="2" t="s">
        <v>23</v>
      </c>
      <c r="C29" s="2" t="s">
        <v>71</v>
      </c>
      <c r="D29" s="3">
        <v>1</v>
      </c>
      <c r="E29" s="3">
        <v>0</v>
      </c>
      <c r="F29" s="3">
        <v>0</v>
      </c>
      <c r="G29" s="3">
        <v>0</v>
      </c>
      <c r="H29" s="4">
        <v>1</v>
      </c>
      <c r="I29" s="2">
        <v>23.24</v>
      </c>
      <c r="J29" s="3">
        <v>2000</v>
      </c>
      <c r="K29" s="3">
        <v>11620</v>
      </c>
      <c r="L29" s="5">
        <v>2</v>
      </c>
      <c r="M29" s="5">
        <f t="shared" si="0"/>
        <v>11.58</v>
      </c>
      <c r="N29" s="6">
        <f t="shared" si="6"/>
        <v>23.16</v>
      </c>
      <c r="O29" s="7">
        <f t="shared" si="3"/>
        <v>23.16</v>
      </c>
      <c r="R29" s="1" t="str">
        <f t="shared" si="4"/>
        <v>ВН-13Витраж 11580(h)х1960, дверь 1860х2200(h)</v>
      </c>
      <c r="X29" s="1" t="str">
        <f t="shared" si="5"/>
        <v>ВН-13Витраж 11580(h)х1960, дверь 1860х2200(h)</v>
      </c>
    </row>
    <row r="30" spans="1:24" x14ac:dyDescent="0.25">
      <c r="A30" s="2" t="s">
        <v>72</v>
      </c>
      <c r="B30" s="2" t="s">
        <v>23</v>
      </c>
      <c r="C30" s="2" t="s">
        <v>73</v>
      </c>
      <c r="D30" s="3">
        <v>1</v>
      </c>
      <c r="E30" s="3">
        <v>0</v>
      </c>
      <c r="F30" s="3">
        <v>0</v>
      </c>
      <c r="G30" s="3">
        <v>0</v>
      </c>
      <c r="H30" s="4">
        <v>1</v>
      </c>
      <c r="I30" s="2">
        <v>7.68</v>
      </c>
      <c r="J30" s="3">
        <v>2400</v>
      </c>
      <c r="K30" s="3">
        <v>3200</v>
      </c>
      <c r="L30" s="5">
        <f t="shared" si="2"/>
        <v>2.36</v>
      </c>
      <c r="M30" s="5">
        <v>3.18</v>
      </c>
      <c r="N30" s="6">
        <f t="shared" si="6"/>
        <v>7.5048000000000004</v>
      </c>
      <c r="O30" s="7">
        <f t="shared" si="3"/>
        <v>7.5048000000000004</v>
      </c>
      <c r="R30" s="1" t="str">
        <f t="shared" si="4"/>
        <v>ВН-14Витраж 3180(h)х2360, 1750х2200(h)</v>
      </c>
      <c r="X30" s="1" t="str">
        <f t="shared" si="5"/>
        <v>ВН-14Витраж 3180(h)х2360, 1750х2200(h)</v>
      </c>
    </row>
    <row r="31" spans="1:24" x14ac:dyDescent="0.25">
      <c r="A31" s="2" t="s">
        <v>74</v>
      </c>
      <c r="B31" s="2" t="s">
        <v>23</v>
      </c>
      <c r="C31" s="2" t="s">
        <v>75</v>
      </c>
      <c r="D31" s="3">
        <v>1</v>
      </c>
      <c r="E31" s="3">
        <v>0</v>
      </c>
      <c r="F31" s="3">
        <v>0</v>
      </c>
      <c r="G31" s="3">
        <v>0</v>
      </c>
      <c r="H31" s="4">
        <v>1</v>
      </c>
      <c r="I31" s="2">
        <v>36.840000000000003</v>
      </c>
      <c r="J31" s="3">
        <v>2400</v>
      </c>
      <c r="K31" s="3">
        <v>15350</v>
      </c>
      <c r="L31" s="5">
        <f t="shared" si="2"/>
        <v>2.36</v>
      </c>
      <c r="M31" s="5">
        <v>15.33</v>
      </c>
      <c r="N31" s="6">
        <f t="shared" si="6"/>
        <v>36.178799999999995</v>
      </c>
      <c r="O31" s="7">
        <f t="shared" si="3"/>
        <v>36.178799999999995</v>
      </c>
      <c r="R31" s="1" t="str">
        <f t="shared" si="4"/>
        <v>ВН-15Витраж 15330(h)х2360, дверь 1850х2200(h)</v>
      </c>
      <c r="X31" s="1" t="str">
        <f t="shared" si="5"/>
        <v>ВН-15Витраж 15330(h)х2360, дверь 1850х2200(h)</v>
      </c>
    </row>
    <row r="32" spans="1:24" x14ac:dyDescent="0.25">
      <c r="O32" s="6">
        <f>SUM(O15:O31)</f>
        <v>343.65110000000004</v>
      </c>
    </row>
    <row r="33" spans="8:8" x14ac:dyDescent="0.25">
      <c r="H33" s="10">
        <f>SUM(H3:H31)</f>
        <v>39</v>
      </c>
    </row>
  </sheetData>
  <mergeCells count="8"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ignoredErrors>
    <ignoredError sqref="O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ВОР</vt:lpstr>
      <vt:lpstr>Лист1</vt:lpstr>
      <vt:lpstr>На инст</vt:lpstr>
      <vt:lpstr>Витражи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Хамраева Наталья Александровна</cp:lastModifiedBy>
  <dcterms:created xsi:type="dcterms:W3CDTF">2015-06-05T18:19:34Z</dcterms:created>
  <dcterms:modified xsi:type="dcterms:W3CDTF">2026-04-10T09:14:34Z</dcterms:modified>
</cp:coreProperties>
</file>