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.kultaeva\Desktop\ШКОЛА г. Новокузнецк\_ТЗ_ТОРГИ\_Кирпичная кладка\"/>
    </mc:Choice>
  </mc:AlternateContent>
  <xr:revisionPtr revIDLastSave="0" documentId="13_ncr:1_{51679841-07AA-48E3-9903-9C8523273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№1" sheetId="13" r:id="rId1"/>
    <sheet name="Тех. этаж" sheetId="2" state="hidden" r:id="rId2"/>
    <sheet name="1 этаж" sheetId="11" state="hidden" r:id="rId3"/>
    <sheet name="2 этаж" sheetId="6" state="hidden" r:id="rId4"/>
    <sheet name="3 этаж" sheetId="9" state="hidden" r:id="rId5"/>
    <sheet name="4 этаж" sheetId="10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3" l="1"/>
  <c r="D7" i="13"/>
  <c r="D6" i="13"/>
  <c r="D5" i="13"/>
  <c r="D4" i="13"/>
  <c r="AG8" i="13"/>
  <c r="AG7" i="13"/>
  <c r="AG6" i="13"/>
  <c r="AG5" i="13"/>
  <c r="AG4" i="13"/>
  <c r="AF5" i="13"/>
  <c r="AE6" i="13"/>
  <c r="AE7" i="13"/>
  <c r="AE8" i="13"/>
  <c r="AE5" i="13"/>
  <c r="AD6" i="13"/>
  <c r="AD7" i="13"/>
  <c r="AD8" i="13"/>
  <c r="AD5" i="13"/>
  <c r="AC5" i="13"/>
  <c r="AD4" i="13"/>
  <c r="AA5" i="13"/>
  <c r="AA6" i="13"/>
  <c r="AA7" i="13" l="1"/>
  <c r="AB7" i="13" s="1"/>
  <c r="AA4" i="13"/>
  <c r="X4" i="13"/>
  <c r="Z8" i="13"/>
  <c r="Y8" i="13"/>
  <c r="X8" i="13"/>
  <c r="Z7" i="13"/>
  <c r="Y7" i="13"/>
  <c r="X7" i="13"/>
  <c r="Z6" i="13"/>
  <c r="Y6" i="13"/>
  <c r="X6" i="13"/>
  <c r="Z5" i="13"/>
  <c r="Y5" i="13"/>
  <c r="X5" i="13"/>
  <c r="W5" i="13"/>
  <c r="U7" i="13"/>
  <c r="U6" i="13"/>
  <c r="T8" i="13"/>
  <c r="S8" i="13"/>
  <c r="R8" i="13"/>
  <c r="T7" i="13"/>
  <c r="S7" i="13"/>
  <c r="R7" i="13"/>
  <c r="T6" i="13"/>
  <c r="S6" i="13"/>
  <c r="R6" i="13"/>
  <c r="I5" i="13"/>
  <c r="U5" i="13"/>
  <c r="R4" i="13"/>
  <c r="V4" i="13" s="1"/>
  <c r="T5" i="13"/>
  <c r="S5" i="13"/>
  <c r="R5" i="13"/>
  <c r="Q5" i="13"/>
  <c r="Q4" i="13"/>
  <c r="L4" i="13"/>
  <c r="F4" i="13"/>
  <c r="E4" i="13"/>
  <c r="J4" i="13" s="1"/>
  <c r="N8" i="13"/>
  <c r="M8" i="13"/>
  <c r="L8" i="13"/>
  <c r="N7" i="13"/>
  <c r="M7" i="13"/>
  <c r="P7" i="13" s="1"/>
  <c r="L7" i="13"/>
  <c r="O6" i="13"/>
  <c r="N6" i="13"/>
  <c r="M6" i="13"/>
  <c r="L6" i="13"/>
  <c r="P5" i="13"/>
  <c r="P4" i="13"/>
  <c r="O5" i="13"/>
  <c r="N5" i="13"/>
  <c r="M5" i="13"/>
  <c r="L5" i="13"/>
  <c r="K5" i="13"/>
  <c r="K4" i="13"/>
  <c r="J7" i="13"/>
  <c r="H8" i="13"/>
  <c r="G8" i="13"/>
  <c r="J8" i="13" s="1"/>
  <c r="F8" i="13"/>
  <c r="H7" i="13"/>
  <c r="F7" i="13"/>
  <c r="I6" i="13"/>
  <c r="H6" i="13"/>
  <c r="G6" i="13"/>
  <c r="F6" i="13"/>
  <c r="J6" i="13" s="1"/>
  <c r="P6" i="13" l="1"/>
  <c r="AB8" i="13"/>
  <c r="AB6" i="13"/>
  <c r="AB4" i="13"/>
  <c r="AB5" i="13"/>
  <c r="V6" i="13"/>
  <c r="V7" i="13"/>
  <c r="V8" i="13"/>
  <c r="V5" i="13"/>
  <c r="P8" i="13"/>
  <c r="H5" i="13"/>
  <c r="G5" i="13"/>
  <c r="F5" i="13"/>
  <c r="E5" i="13"/>
  <c r="J5" i="13" l="1"/>
  <c r="AB19" i="6" l="1"/>
  <c r="AB19" i="9"/>
  <c r="AC19" i="9" s="1"/>
  <c r="AD19" i="9" s="1"/>
  <c r="L2" i="9"/>
  <c r="M5" i="11"/>
  <c r="N8" i="11" s="1"/>
  <c r="D29" i="11"/>
  <c r="AB16" i="11"/>
  <c r="AA16" i="10"/>
  <c r="R10" i="11"/>
  <c r="T13" i="11" s="1"/>
  <c r="N10" i="11"/>
  <c r="I2" i="11"/>
  <c r="D55" i="11"/>
  <c r="D54" i="11"/>
  <c r="D53" i="11"/>
  <c r="K52" i="11"/>
  <c r="K51" i="11"/>
  <c r="K50" i="11"/>
  <c r="D50" i="11"/>
  <c r="K49" i="11"/>
  <c r="D49" i="11"/>
  <c r="K48" i="11"/>
  <c r="K47" i="11"/>
  <c r="K46" i="11"/>
  <c r="D46" i="11"/>
  <c r="K45" i="11"/>
  <c r="D45" i="11"/>
  <c r="K44" i="11"/>
  <c r="D44" i="11"/>
  <c r="K43" i="11"/>
  <c r="K42" i="11"/>
  <c r="K41" i="11"/>
  <c r="D41" i="11"/>
  <c r="K40" i="11"/>
  <c r="D40" i="11"/>
  <c r="K39" i="11"/>
  <c r="Y38" i="11"/>
  <c r="K38" i="11"/>
  <c r="Y37" i="11"/>
  <c r="Y39" i="11" s="1"/>
  <c r="K37" i="11"/>
  <c r="D37" i="11"/>
  <c r="D36" i="11"/>
  <c r="J27" i="11" s="1"/>
  <c r="Z17" i="11" s="1"/>
  <c r="D35" i="11"/>
  <c r="D34" i="11"/>
  <c r="N27" i="11" s="1"/>
  <c r="D33" i="11"/>
  <c r="D30" i="11"/>
  <c r="U26" i="11"/>
  <c r="P26" i="11"/>
  <c r="D26" i="11"/>
  <c r="D25" i="11"/>
  <c r="D22" i="11"/>
  <c r="E15" i="11" s="1"/>
  <c r="D21" i="11"/>
  <c r="J20" i="11"/>
  <c r="D20" i="11"/>
  <c r="T27" i="11" s="1"/>
  <c r="V19" i="11"/>
  <c r="U19" i="11"/>
  <c r="N19" i="11"/>
  <c r="D19" i="11"/>
  <c r="E16" i="11"/>
  <c r="K13" i="11"/>
  <c r="J13" i="11"/>
  <c r="Z11" i="11"/>
  <c r="Z10" i="11"/>
  <c r="E6" i="11"/>
  <c r="D25" i="9"/>
  <c r="K13" i="9"/>
  <c r="J64" i="10"/>
  <c r="J63" i="10"/>
  <c r="J62" i="10"/>
  <c r="J61" i="10"/>
  <c r="J60" i="10"/>
  <c r="J59" i="10"/>
  <c r="J73" i="10" s="1"/>
  <c r="Z7" i="10" s="1"/>
  <c r="J58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Y38" i="10"/>
  <c r="K38" i="10"/>
  <c r="Y37" i="10"/>
  <c r="K37" i="10"/>
  <c r="X38" i="6"/>
  <c r="X37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Y41" i="9"/>
  <c r="Y40" i="9"/>
  <c r="K5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N10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Y39" i="9"/>
  <c r="K39" i="9"/>
  <c r="K55" i="9" s="1"/>
  <c r="Z6" i="9" s="1"/>
  <c r="I61" i="6"/>
  <c r="I73" i="6" s="1"/>
  <c r="Z6" i="6" s="1"/>
  <c r="I71" i="6"/>
  <c r="I62" i="6"/>
  <c r="I60" i="6"/>
  <c r="D21" i="6"/>
  <c r="I70" i="6"/>
  <c r="I69" i="6"/>
  <c r="I68" i="6"/>
  <c r="I67" i="6"/>
  <c r="I66" i="6"/>
  <c r="I65" i="6"/>
  <c r="I64" i="6"/>
  <c r="I63" i="6"/>
  <c r="I59" i="6"/>
  <c r="I58" i="6"/>
  <c r="N10" i="6"/>
  <c r="AA16" i="6"/>
  <c r="R35" i="6"/>
  <c r="R38" i="6" s="1"/>
  <c r="N35" i="6"/>
  <c r="AA16" i="9"/>
  <c r="R10" i="10"/>
  <c r="R13" i="10" s="1"/>
  <c r="T13" i="10"/>
  <c r="Z11" i="10"/>
  <c r="N10" i="10"/>
  <c r="Z11" i="9"/>
  <c r="E16" i="9"/>
  <c r="L2" i="10"/>
  <c r="D55" i="10"/>
  <c r="D54" i="10"/>
  <c r="D53" i="10"/>
  <c r="D50" i="10"/>
  <c r="D49" i="10"/>
  <c r="D46" i="10"/>
  <c r="D45" i="10"/>
  <c r="D44" i="10"/>
  <c r="D41" i="10"/>
  <c r="D40" i="10"/>
  <c r="D37" i="10"/>
  <c r="D36" i="10"/>
  <c r="J27" i="10" s="1"/>
  <c r="Z17" i="10" s="1"/>
  <c r="D35" i="10"/>
  <c r="D34" i="10"/>
  <c r="N27" i="10" s="1"/>
  <c r="D33" i="10"/>
  <c r="D30" i="10"/>
  <c r="D29" i="10"/>
  <c r="U26" i="10"/>
  <c r="P26" i="10"/>
  <c r="D26" i="10"/>
  <c r="D25" i="10"/>
  <c r="D22" i="10"/>
  <c r="Z10" i="10" s="1"/>
  <c r="D21" i="10"/>
  <c r="J20" i="10"/>
  <c r="D20" i="10"/>
  <c r="T27" i="10" s="1"/>
  <c r="U27" i="10" s="1"/>
  <c r="V19" i="10"/>
  <c r="U19" i="10"/>
  <c r="N19" i="10"/>
  <c r="D19" i="10"/>
  <c r="R20" i="10" s="1"/>
  <c r="E16" i="10"/>
  <c r="K13" i="10"/>
  <c r="J13" i="10"/>
  <c r="E6" i="10"/>
  <c r="U26" i="9"/>
  <c r="R10" i="9"/>
  <c r="R13" i="9" s="1"/>
  <c r="E6" i="9"/>
  <c r="D55" i="9"/>
  <c r="D54" i="9"/>
  <c r="D53" i="9"/>
  <c r="D50" i="9"/>
  <c r="D49" i="9"/>
  <c r="D46" i="9"/>
  <c r="D45" i="9"/>
  <c r="J32" i="9" s="1"/>
  <c r="D44" i="9"/>
  <c r="D41" i="9"/>
  <c r="D40" i="9"/>
  <c r="D37" i="9"/>
  <c r="D36" i="9"/>
  <c r="J27" i="9" s="1"/>
  <c r="Z17" i="9" s="1"/>
  <c r="D35" i="9"/>
  <c r="D34" i="9"/>
  <c r="D33" i="9"/>
  <c r="D30" i="9"/>
  <c r="D29" i="9"/>
  <c r="N27" i="9"/>
  <c r="P26" i="9"/>
  <c r="D26" i="9"/>
  <c r="D22" i="9"/>
  <c r="Z10" i="9" s="1"/>
  <c r="D21" i="9"/>
  <c r="J20" i="9"/>
  <c r="D20" i="9"/>
  <c r="T27" i="9" s="1"/>
  <c r="U27" i="9" s="1"/>
  <c r="V19" i="9"/>
  <c r="U19" i="9"/>
  <c r="N19" i="9"/>
  <c r="D19" i="9"/>
  <c r="J13" i="9"/>
  <c r="O40" i="9" l="1"/>
  <c r="P40" i="9" s="1"/>
  <c r="O38" i="10"/>
  <c r="E15" i="9"/>
  <c r="S38" i="10"/>
  <c r="T38" i="10" s="1"/>
  <c r="O38" i="11"/>
  <c r="Z5" i="11" s="1"/>
  <c r="K32" i="9"/>
  <c r="S20" i="10"/>
  <c r="V20" i="10" s="1"/>
  <c r="T20" i="9"/>
  <c r="T20" i="11"/>
  <c r="Z19" i="11" s="1"/>
  <c r="N20" i="9"/>
  <c r="O20" i="9" s="1"/>
  <c r="Z20" i="9" s="1"/>
  <c r="P27" i="10"/>
  <c r="K32" i="10"/>
  <c r="S40" i="9"/>
  <c r="T40" i="9" s="1"/>
  <c r="AC19" i="6"/>
  <c r="AD19" i="6" s="1"/>
  <c r="S20" i="11"/>
  <c r="N13" i="11"/>
  <c r="P38" i="10"/>
  <c r="Z4" i="10" s="1"/>
  <c r="Z5" i="10"/>
  <c r="Z5" i="9"/>
  <c r="E15" i="10"/>
  <c r="Y39" i="10"/>
  <c r="R20" i="9"/>
  <c r="R13" i="11"/>
  <c r="N13" i="9"/>
  <c r="Z12" i="9" s="1"/>
  <c r="L32" i="11"/>
  <c r="L32" i="10"/>
  <c r="AA11" i="10" s="1"/>
  <c r="S38" i="11"/>
  <c r="T38" i="11" s="1"/>
  <c r="U20" i="10"/>
  <c r="T13" i="9"/>
  <c r="P27" i="11"/>
  <c r="N20" i="10"/>
  <c r="O20" i="10" s="1"/>
  <c r="Z20" i="10" s="1"/>
  <c r="J53" i="6"/>
  <c r="N13" i="10"/>
  <c r="Z12" i="10" s="1"/>
  <c r="M8" i="11"/>
  <c r="Z12" i="11" s="1"/>
  <c r="R20" i="11"/>
  <c r="U20" i="11" s="1"/>
  <c r="AA10" i="11" s="1"/>
  <c r="P27" i="9"/>
  <c r="J75" i="9"/>
  <c r="Z7" i="9" s="1"/>
  <c r="X39" i="6"/>
  <c r="K53" i="11"/>
  <c r="U27" i="11"/>
  <c r="N20" i="11"/>
  <c r="O20" i="11" s="1"/>
  <c r="S13" i="11"/>
  <c r="Z15" i="11" s="1"/>
  <c r="J32" i="11"/>
  <c r="K32" i="11"/>
  <c r="K53" i="10"/>
  <c r="Z6" i="10" s="1"/>
  <c r="S38" i="6"/>
  <c r="J32" i="10"/>
  <c r="Z18" i="10" s="1"/>
  <c r="S13" i="10"/>
  <c r="Z15" i="10" s="1"/>
  <c r="T20" i="10"/>
  <c r="Z19" i="10" s="1"/>
  <c r="Z13" i="10"/>
  <c r="Z14" i="10"/>
  <c r="S20" i="9"/>
  <c r="Z13" i="9"/>
  <c r="U20" i="9"/>
  <c r="S13" i="9"/>
  <c r="Z15" i="9" s="1"/>
  <c r="Z18" i="9"/>
  <c r="L32" i="9"/>
  <c r="Z11" i="6"/>
  <c r="R10" i="6"/>
  <c r="R13" i="6" s="1"/>
  <c r="D55" i="6"/>
  <c r="D54" i="6"/>
  <c r="D53" i="6"/>
  <c r="D50" i="6"/>
  <c r="D49" i="6"/>
  <c r="D46" i="6"/>
  <c r="D45" i="6"/>
  <c r="D44" i="6"/>
  <c r="D41" i="6"/>
  <c r="D40" i="6"/>
  <c r="D37" i="6"/>
  <c r="N13" i="6" s="1"/>
  <c r="D36" i="6"/>
  <c r="J27" i="6" s="1"/>
  <c r="Z17" i="6" s="1"/>
  <c r="D35" i="6"/>
  <c r="D34" i="6"/>
  <c r="N27" i="6" s="1"/>
  <c r="D33" i="6"/>
  <c r="D30" i="6"/>
  <c r="D29" i="6"/>
  <c r="D26" i="6"/>
  <c r="D25" i="6"/>
  <c r="V19" i="6"/>
  <c r="U26" i="6"/>
  <c r="D20" i="6"/>
  <c r="D19" i="6"/>
  <c r="P26" i="6"/>
  <c r="U19" i="6"/>
  <c r="N19" i="6"/>
  <c r="J20" i="6"/>
  <c r="K13" i="6"/>
  <c r="J13" i="6"/>
  <c r="D22" i="6"/>
  <c r="Z10" i="6" s="1"/>
  <c r="E16" i="6"/>
  <c r="F6" i="6"/>
  <c r="O2" i="6"/>
  <c r="Z16" i="9" l="1"/>
  <c r="AB16" i="9" s="1"/>
  <c r="Z13" i="11"/>
  <c r="Z16" i="10"/>
  <c r="AB16" i="10" s="1"/>
  <c r="S20" i="6"/>
  <c r="V20" i="6" s="1"/>
  <c r="Z19" i="9"/>
  <c r="T27" i="6"/>
  <c r="U27" i="6" s="1"/>
  <c r="AA10" i="10"/>
  <c r="Z4" i="9"/>
  <c r="R20" i="6"/>
  <c r="T20" i="6" s="1"/>
  <c r="AA10" i="9"/>
  <c r="Z12" i="6"/>
  <c r="P27" i="6"/>
  <c r="Z16" i="11"/>
  <c r="AA16" i="11" s="1"/>
  <c r="Z5" i="6"/>
  <c r="L32" i="6"/>
  <c r="J32" i="6"/>
  <c r="Z18" i="6" s="1"/>
  <c r="Z20" i="11"/>
  <c r="P38" i="11"/>
  <c r="Z4" i="11" s="1"/>
  <c r="V20" i="11"/>
  <c r="AA11" i="11" s="1"/>
  <c r="Z14" i="11"/>
  <c r="K32" i="6"/>
  <c r="N20" i="6"/>
  <c r="O20" i="6" s="1"/>
  <c r="Z20" i="6" s="1"/>
  <c r="E15" i="6"/>
  <c r="S13" i="6"/>
  <c r="Z15" i="6" s="1"/>
  <c r="N38" i="6"/>
  <c r="V20" i="9"/>
  <c r="AA11" i="9" s="1"/>
  <c r="Z14" i="9"/>
  <c r="T13" i="6"/>
  <c r="O9" i="2"/>
  <c r="P9" i="2" s="1"/>
  <c r="O8" i="2"/>
  <c r="N8" i="2"/>
  <c r="O7" i="2"/>
  <c r="P7" i="2" s="1"/>
  <c r="O6" i="2"/>
  <c r="P6" i="2" s="1"/>
  <c r="O5" i="2"/>
  <c r="N5" i="2"/>
  <c r="P5" i="2" s="1"/>
  <c r="U20" i="6" l="1"/>
  <c r="AA10" i="6" s="1"/>
  <c r="Z13" i="6"/>
  <c r="Z14" i="6"/>
  <c r="Z19" i="6"/>
  <c r="AA11" i="6"/>
  <c r="Z16" i="6"/>
  <c r="AB16" i="6" s="1"/>
  <c r="O38" i="6"/>
  <c r="Z3" i="6" s="1"/>
  <c r="Z4" i="6"/>
  <c r="P8" i="2"/>
  <c r="P10" i="2" s="1"/>
  <c r="G6" i="2" l="1"/>
  <c r="G17" i="2"/>
  <c r="G16" i="2"/>
  <c r="G18" i="2" s="1"/>
  <c r="G5" i="2"/>
  <c r="G4" i="2"/>
  <c r="G20" i="2" s="1"/>
  <c r="D8" i="2" l="1"/>
  <c r="E17" i="2"/>
  <c r="D17" i="2"/>
  <c r="D13" i="2"/>
  <c r="D14" i="2" s="1"/>
  <c r="I13" i="2" l="1"/>
  <c r="H13" i="2"/>
  <c r="E13" i="2"/>
  <c r="E14" i="2" s="1"/>
  <c r="E18" i="2" s="1"/>
  <c r="D18" i="2"/>
  <c r="E8" i="2"/>
  <c r="E5" i="2"/>
  <c r="D5" i="2"/>
  <c r="D9" i="2" s="1"/>
  <c r="D20" i="2" l="1"/>
  <c r="E9" i="2"/>
  <c r="E20" i="2" s="1"/>
</calcChain>
</file>

<file path=xl/sharedStrings.xml><?xml version="1.0" encoding="utf-8"?>
<sst xmlns="http://schemas.openxmlformats.org/spreadsheetml/2006/main" count="813" uniqueCount="133">
  <si>
    <t>Наименование работ</t>
  </si>
  <si>
    <t>Вид Ж</t>
  </si>
  <si>
    <t>узел 5</t>
  </si>
  <si>
    <t>узел 6</t>
  </si>
  <si>
    <t>ММ1</t>
  </si>
  <si>
    <t>Ан1</t>
  </si>
  <si>
    <t>Вид И</t>
  </si>
  <si>
    <t>Кол-во узлов</t>
  </si>
  <si>
    <t>узел 1</t>
  </si>
  <si>
    <t>узел 2</t>
  </si>
  <si>
    <t>Кирпич</t>
  </si>
  <si>
    <t>6-7/С-Т</t>
  </si>
  <si>
    <t>Длина</t>
  </si>
  <si>
    <t>Высота</t>
  </si>
  <si>
    <t>6-7/Л-Н</t>
  </si>
  <si>
    <t>13-14/С-Т</t>
  </si>
  <si>
    <t>1-2/Б-В</t>
  </si>
  <si>
    <t>15-16/Б-В</t>
  </si>
  <si>
    <t>И</t>
  </si>
  <si>
    <t>Ж</t>
  </si>
  <si>
    <t>Технический этаж</t>
  </si>
  <si>
    <t>Площадь, м2</t>
  </si>
  <si>
    <t>АН1</t>
  </si>
  <si>
    <r>
      <rPr>
        <b/>
        <sz val="11"/>
        <color theme="1"/>
        <rFont val="Calibri"/>
        <family val="2"/>
        <charset val="204"/>
        <scheme val="minor"/>
      </rPr>
      <t xml:space="preserve">ММ1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шаг 750</t>
    </r>
  </si>
  <si>
    <r>
      <rPr>
        <b/>
        <sz val="11"/>
        <color theme="1"/>
        <rFont val="Calibri"/>
        <family val="2"/>
        <charset val="204"/>
        <scheme val="minor"/>
      </rPr>
      <t>К-1</t>
    </r>
    <r>
      <rPr>
        <sz val="11"/>
        <color theme="1"/>
        <rFont val="Calibri"/>
        <family val="2"/>
        <scheme val="minor"/>
      </rPr>
      <t xml:space="preserve">  (2,450м)
</t>
    </r>
    <r>
      <rPr>
        <sz val="8"/>
        <color theme="1"/>
        <rFont val="Calibri"/>
        <family val="2"/>
        <charset val="204"/>
        <scheme val="minor"/>
      </rPr>
      <t>сверху по длине</t>
    </r>
  </si>
  <si>
    <r>
      <rPr>
        <b/>
        <sz val="11"/>
        <color theme="1"/>
        <rFont val="Calibri"/>
        <family val="2"/>
        <charset val="204"/>
        <scheme val="minor"/>
      </rPr>
      <t>К-2</t>
    </r>
    <r>
      <rPr>
        <sz val="11"/>
        <color theme="1"/>
        <rFont val="Calibri"/>
        <family val="2"/>
        <scheme val="minor"/>
      </rPr>
      <t xml:space="preserve">  (1,000м)
</t>
    </r>
    <r>
      <rPr>
        <sz val="8"/>
        <color theme="1"/>
        <rFont val="Calibri"/>
        <family val="2"/>
        <charset val="204"/>
        <scheme val="minor"/>
      </rPr>
      <t>в каждые три шва кладки на уровне ММ</t>
    </r>
  </si>
  <si>
    <r>
      <rPr>
        <b/>
        <sz val="11"/>
        <color theme="1"/>
        <rFont val="Calibri"/>
        <family val="2"/>
        <charset val="204"/>
        <scheme val="minor"/>
      </rPr>
      <t>К-3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по всей длине перегородки в верхние три шва</t>
    </r>
  </si>
  <si>
    <t>-</t>
  </si>
  <si>
    <t>м2</t>
  </si>
  <si>
    <t>Узел 4</t>
  </si>
  <si>
    <t>ММ4</t>
  </si>
  <si>
    <t>К-2</t>
  </si>
  <si>
    <t>К-1</t>
  </si>
  <si>
    <t>Узел 2</t>
  </si>
  <si>
    <t>Балка Б1</t>
  </si>
  <si>
    <t>Балка Б2</t>
  </si>
  <si>
    <t>Узел А</t>
  </si>
  <si>
    <t>Пл1</t>
  </si>
  <si>
    <t>Ан2</t>
  </si>
  <si>
    <t>Узел 3</t>
  </si>
  <si>
    <t>Узел Б</t>
  </si>
  <si>
    <t>ММ2</t>
  </si>
  <si>
    <r>
      <t xml:space="preserve">ММ3
</t>
    </r>
    <r>
      <rPr>
        <sz val="9"/>
        <color theme="1"/>
        <rFont val="Calibri"/>
        <family val="2"/>
        <charset val="204"/>
        <scheme val="minor"/>
      </rPr>
      <t>(100х100)</t>
    </r>
  </si>
  <si>
    <r>
      <t xml:space="preserve">ММ2
</t>
    </r>
    <r>
      <rPr>
        <sz val="9"/>
        <color theme="1"/>
        <rFont val="Calibri"/>
        <family val="2"/>
        <charset val="204"/>
        <scheme val="minor"/>
      </rPr>
      <t>(120х120)</t>
    </r>
  </si>
  <si>
    <r>
      <t xml:space="preserve">1 
</t>
    </r>
    <r>
      <rPr>
        <sz val="8"/>
        <color theme="1"/>
        <rFont val="Calibri"/>
        <family val="2"/>
        <charset val="204"/>
        <scheme val="minor"/>
      </rPr>
      <t>(120х120)</t>
    </r>
  </si>
  <si>
    <r>
      <t xml:space="preserve">2
</t>
    </r>
    <r>
      <rPr>
        <sz val="8"/>
        <color theme="1"/>
        <rFont val="Calibri"/>
        <family val="2"/>
        <charset val="204"/>
        <scheme val="minor"/>
      </rPr>
      <t>(100х100)</t>
    </r>
  </si>
  <si>
    <t>Узел 1</t>
  </si>
  <si>
    <t>Узел Г</t>
  </si>
  <si>
    <t>Пл2</t>
  </si>
  <si>
    <t>сварка</t>
  </si>
  <si>
    <t>Узел Д</t>
  </si>
  <si>
    <t>Вид В</t>
  </si>
  <si>
    <t>Вид Б</t>
  </si>
  <si>
    <t>100х100</t>
  </si>
  <si>
    <t>Вид Г</t>
  </si>
  <si>
    <t>Узел В</t>
  </si>
  <si>
    <t>120х120</t>
  </si>
  <si>
    <t>Ст1</t>
  </si>
  <si>
    <t>ММ3</t>
  </si>
  <si>
    <t>К-3</t>
  </si>
  <si>
    <t>С1</t>
  </si>
  <si>
    <t>С-1</t>
  </si>
  <si>
    <t>Вид А</t>
  </si>
  <si>
    <t>Заглушка</t>
  </si>
  <si>
    <t>Ст2</t>
  </si>
  <si>
    <t>Ст3</t>
  </si>
  <si>
    <t>Ст4</t>
  </si>
  <si>
    <t>+</t>
  </si>
  <si>
    <t>2шт.</t>
  </si>
  <si>
    <t>поз.1</t>
  </si>
  <si>
    <t>поз.2</t>
  </si>
  <si>
    <t>4х120х120</t>
  </si>
  <si>
    <t>4х100х100</t>
  </si>
  <si>
    <t>Вид Д</t>
  </si>
  <si>
    <t>Вид Е</t>
  </si>
  <si>
    <t>Вид К</t>
  </si>
  <si>
    <t>Вид Л</t>
  </si>
  <si>
    <t>узел Б</t>
  </si>
  <si>
    <t>узел В</t>
  </si>
  <si>
    <t>узел 3</t>
  </si>
  <si>
    <t>узел А</t>
  </si>
  <si>
    <t>узел Д</t>
  </si>
  <si>
    <t>узел Г</t>
  </si>
  <si>
    <t>узел Е</t>
  </si>
  <si>
    <t>Узел 5</t>
  </si>
  <si>
    <t>Стойки Ст3</t>
  </si>
  <si>
    <t>Стойки Ст1,2</t>
  </si>
  <si>
    <t>Стойки Ст2</t>
  </si>
  <si>
    <t>Узел Е</t>
  </si>
  <si>
    <t>Уг1</t>
  </si>
  <si>
    <t>Стойки Ст4</t>
  </si>
  <si>
    <t xml:space="preserve"> +2 узла Е</t>
  </si>
  <si>
    <t>всего</t>
  </si>
  <si>
    <t>стойки у шахты лифта стоят без пары ММ1</t>
  </si>
  <si>
    <t>СТ3</t>
  </si>
  <si>
    <t xml:space="preserve"> +1 узел Е</t>
  </si>
  <si>
    <t>связаны</t>
  </si>
  <si>
    <t>проект</t>
  </si>
  <si>
    <t>почему на 2 этаже узел А</t>
  </si>
  <si>
    <t xml:space="preserve">К-3 </t>
  </si>
  <si>
    <t>по всей длине перегородки в верхние три шва</t>
  </si>
  <si>
    <t>замаркирована не та балка</t>
  </si>
  <si>
    <t>узел 4</t>
  </si>
  <si>
    <t>узеб Б, Е</t>
  </si>
  <si>
    <t>Ед. изм.</t>
  </si>
  <si>
    <t>№п/п</t>
  </si>
  <si>
    <t>Общее кол-во</t>
  </si>
  <si>
    <t>подвал
отм.-3,000</t>
  </si>
  <si>
    <t>1 этаж
отм. 0,000</t>
  </si>
  <si>
    <t>2 этаж
отм. +3,900</t>
  </si>
  <si>
    <t>3 этаж
отм. +7,500</t>
  </si>
  <si>
    <t>кровля
отм. +11,100</t>
  </si>
  <si>
    <t>ИТОГО
БЛОК В</t>
  </si>
  <si>
    <r>
      <rPr>
        <b/>
        <sz val="11"/>
        <color theme="1"/>
        <rFont val="Times New Roman"/>
        <family val="1"/>
        <charset val="204"/>
      </rPr>
      <t>Кирпичная кладка перегородок t=120мм</t>
    </r>
    <r>
      <rPr>
        <sz val="11"/>
        <color theme="1"/>
        <rFont val="Times New Roman"/>
        <family val="1"/>
        <charset val="204"/>
      </rPr>
      <t xml:space="preserve">
(кладка, монтаж металлических стоек и перемычек, армирование, установка закладных деталей, огрунтовка и окраска металлических деталей и конструкций, устройство примыкания, герметизация стыков вертикальных и горизонтальных, прочие работы согласно проекта)</t>
    </r>
  </si>
  <si>
    <r>
      <rPr>
        <b/>
        <sz val="11"/>
        <color theme="1"/>
        <rFont val="Times New Roman"/>
        <family val="1"/>
        <charset val="204"/>
      </rPr>
      <t>Кирпичная кладка стен t=250мм</t>
    </r>
    <r>
      <rPr>
        <sz val="11"/>
        <color theme="1"/>
        <rFont val="Times New Roman"/>
        <family val="1"/>
        <charset val="204"/>
      </rPr>
      <t xml:space="preserve">
(кладка, монтаж металлических стоек и перемычек, армирование, установка закладных деталей, огрунтовка и окраска металлических деталей и конструкций, устройство примыкания, герметизация стыков вертикальных и горизонтальных, прочие работы согласно проекта)</t>
    </r>
  </si>
  <si>
    <t>м3</t>
  </si>
  <si>
    <t>ИТОГО
БЛОК Г</t>
  </si>
  <si>
    <t>Приложение №1</t>
  </si>
  <si>
    <t>ИТОГО
БЛОК Д</t>
  </si>
  <si>
    <t>ИТОГО
БЛОК Е</t>
  </si>
  <si>
    <t>ИТОГО
БЛОК К</t>
  </si>
  <si>
    <t>БЛОК В (подсчет сдс-строй)</t>
  </si>
  <si>
    <t>БЛОК Г (подсчет сдс-строй)</t>
  </si>
  <si>
    <t>БЛОК Д (подсчет сдс-строй)</t>
  </si>
  <si>
    <t>БЛОК Е (подсчет сдс-строй)</t>
  </si>
  <si>
    <t>БЛОК К (подсчет ПИ)</t>
  </si>
  <si>
    <t>кровля
отм. +7,500</t>
  </si>
  <si>
    <t>ПРИМЕЧАНИЕ:</t>
  </si>
  <si>
    <r>
      <rPr>
        <b/>
        <sz val="11"/>
        <color theme="1"/>
        <rFont val="Times New Roman"/>
        <family val="1"/>
        <charset val="204"/>
      </rPr>
      <t>Кладка стен из газобетонных блоков "Сибит" t=300мм</t>
    </r>
    <r>
      <rPr>
        <sz val="11"/>
        <color theme="1"/>
        <rFont val="Times New Roman"/>
        <family val="1"/>
        <charset val="204"/>
      </rPr>
      <t xml:space="preserve">
(кладка, монтаж металлических стоек и перемычек, армирование, установка закладных деталей, огрунтовка и окраска металлических деталей и конструкций, устройство примыкания, герметизация стыков вертикальных и горизонтальных, прочие работы согласно проекта)</t>
    </r>
  </si>
  <si>
    <r>
      <rPr>
        <b/>
        <sz val="11"/>
        <color theme="1"/>
        <rFont val="Times New Roman"/>
        <family val="1"/>
        <charset val="204"/>
      </rPr>
      <t>Кладка перегородок из  газобетонных блоков "Сибит" t=200мм</t>
    </r>
    <r>
      <rPr>
        <sz val="11"/>
        <color theme="1"/>
        <rFont val="Times New Roman"/>
        <family val="1"/>
        <charset val="204"/>
      </rPr>
      <t xml:space="preserve">
(кладка, монтаж металлических стоек и перемычек, армирование, установка закладных деталей, огрунтовка и окраска металлических деталей и конструкций, устройство примыкания, герметизация стыков вертикальных и горизонтальных, прочие работы согласно проекта)</t>
    </r>
  </si>
  <si>
    <r>
      <rPr>
        <b/>
        <sz val="11"/>
        <color theme="1"/>
        <rFont val="Times New Roman"/>
        <family val="1"/>
        <charset val="204"/>
      </rPr>
      <t>Кладка перегородок из газобетонных блоков "Сибит" t=120мм</t>
    </r>
    <r>
      <rPr>
        <sz val="11"/>
        <color theme="1"/>
        <rFont val="Times New Roman"/>
        <family val="1"/>
        <charset val="204"/>
      </rPr>
      <t xml:space="preserve">
(кладка, монтаж металлических стоек и перемычек, армирование, установка закладных деталей, огрунтовка и окраска металлических деталей и конструкций, устройство примыкания, герметизация стыков вертикальных и горизонтальных, прочие работы согласно проекта)</t>
    </r>
  </si>
  <si>
    <t>Устройство наружных стен и внутренних перегородок из газобетонных блоков "Сибит" и кирпича</t>
  </si>
  <si>
    <t>1) Кладку стен  и перегородок выполнить из полнотелого кирпича КР-р-по 250х120х65/1НФ/100/2,0/100/ГОСТ 530-12, на цементно-песчаном растворе марки М100.
2) Кладку стен и перегородок выполнить из газобетонных блоков "Сибит" Тип блока I, Марка плотности D600, класс прочности В3,5 по ГОСТ 31360-2024 на специальном клее марки по прочности М50 толщиной 2-3 мм с тщательной перевязкой швов кладки. Первый ряд блоков кладется на цементно-песчаный раствор М100.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</si>
</sst>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Fill="1" applyAlignment="1"/>
    <xf numFmtId="0" fontId="0" fillId="0" borderId="0" xfId="0" applyFill="1" applyAlignme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AA31-9DF0-45A8-9924-72D56B353442}">
  <dimension ref="A1:AG11"/>
  <sheetViews>
    <sheetView tabSelected="1" view="pageBreakPreview" zoomScale="6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L5" sqref="AL5"/>
    </sheetView>
  </sheetViews>
  <sheetFormatPr defaultRowHeight="15" outlineLevelCol="1" x14ac:dyDescent="0.25"/>
  <cols>
    <col min="1" max="1" width="9.140625" style="56"/>
    <col min="2" max="2" width="69.7109375" style="56" customWidth="1"/>
    <col min="3" max="3" width="9.140625" style="57"/>
    <col min="4" max="4" width="15.7109375" style="57" customWidth="1"/>
    <col min="5" max="5" width="10.140625" style="57" hidden="1" customWidth="1" outlineLevel="1"/>
    <col min="6" max="6" width="10" style="57" hidden="1" customWidth="1" outlineLevel="1"/>
    <col min="7" max="7" width="12.7109375" style="57" hidden="1" customWidth="1" outlineLevel="1"/>
    <col min="8" max="8" width="13" style="57" hidden="1" customWidth="1" outlineLevel="1"/>
    <col min="9" max="9" width="13.7109375" style="57" hidden="1" customWidth="1" outlineLevel="1"/>
    <col min="10" max="10" width="9.42578125" style="57" bestFit="1" customWidth="1" collapsed="1"/>
    <col min="11" max="12" width="10.7109375" style="57" hidden="1" customWidth="1" outlineLevel="1"/>
    <col min="13" max="13" width="12.28515625" style="57" hidden="1" customWidth="1" outlineLevel="1"/>
    <col min="14" max="14" width="11.42578125" style="57" hidden="1" customWidth="1" outlineLevel="1"/>
    <col min="15" max="15" width="13.85546875" style="57" hidden="1" customWidth="1" outlineLevel="1"/>
    <col min="16" max="16" width="9.42578125" style="56" bestFit="1" customWidth="1" collapsed="1"/>
    <col min="17" max="18" width="10.7109375" style="57" hidden="1" customWidth="1" outlineLevel="1"/>
    <col min="19" max="19" width="12" style="57" hidden="1" customWidth="1" outlineLevel="1"/>
    <col min="20" max="20" width="12.5703125" style="57" hidden="1" customWidth="1" outlineLevel="1"/>
    <col min="21" max="21" width="15.140625" style="57" hidden="1" customWidth="1" outlineLevel="1"/>
    <col min="22" max="22" width="9.5703125" style="56" bestFit="1" customWidth="1" collapsed="1"/>
    <col min="23" max="24" width="10.7109375" style="57" hidden="1" customWidth="1" outlineLevel="1"/>
    <col min="25" max="25" width="12" style="57" hidden="1" customWidth="1" outlineLevel="1"/>
    <col min="26" max="26" width="12.5703125" style="57" hidden="1" customWidth="1" outlineLevel="1"/>
    <col min="27" max="27" width="15.140625" style="57" hidden="1" customWidth="1" outlineLevel="1"/>
    <col min="28" max="28" width="9.42578125" style="56" bestFit="1" customWidth="1" collapsed="1"/>
    <col min="29" max="30" width="10.7109375" style="57" hidden="1" customWidth="1" outlineLevel="1"/>
    <col min="31" max="31" width="12" style="57" hidden="1" customWidth="1" outlineLevel="1"/>
    <col min="32" max="32" width="12.5703125" style="57" hidden="1" customWidth="1" outlineLevel="1"/>
    <col min="33" max="33" width="9.5703125" style="56" bestFit="1" customWidth="1" collapsed="1"/>
    <col min="34" max="16384" width="9.140625" style="56"/>
  </cols>
  <sheetData>
    <row r="1" spans="1:33" x14ac:dyDescent="0.25">
      <c r="A1" s="56" t="s">
        <v>117</v>
      </c>
    </row>
    <row r="2" spans="1:33" ht="30" customHeight="1" x14ac:dyDescent="0.25">
      <c r="A2" s="72" t="s">
        <v>131</v>
      </c>
      <c r="B2" s="73"/>
      <c r="C2" s="73"/>
      <c r="D2" s="74"/>
      <c r="E2" s="68" t="s">
        <v>121</v>
      </c>
      <c r="F2" s="68"/>
      <c r="G2" s="68"/>
      <c r="H2" s="68"/>
      <c r="I2" s="68"/>
      <c r="J2" s="69" t="s">
        <v>112</v>
      </c>
      <c r="K2" s="68" t="s">
        <v>122</v>
      </c>
      <c r="L2" s="68"/>
      <c r="M2" s="68"/>
      <c r="N2" s="68"/>
      <c r="O2" s="68"/>
      <c r="P2" s="69" t="s">
        <v>116</v>
      </c>
      <c r="Q2" s="68" t="s">
        <v>123</v>
      </c>
      <c r="R2" s="68"/>
      <c r="S2" s="68"/>
      <c r="T2" s="68"/>
      <c r="U2" s="68"/>
      <c r="V2" s="69" t="s">
        <v>118</v>
      </c>
      <c r="W2" s="68" t="s">
        <v>124</v>
      </c>
      <c r="X2" s="68"/>
      <c r="Y2" s="68"/>
      <c r="Z2" s="68"/>
      <c r="AA2" s="68"/>
      <c r="AB2" s="69" t="s">
        <v>119</v>
      </c>
      <c r="AC2" s="68" t="s">
        <v>125</v>
      </c>
      <c r="AD2" s="68"/>
      <c r="AE2" s="68"/>
      <c r="AF2" s="68"/>
      <c r="AG2" s="69" t="s">
        <v>120</v>
      </c>
    </row>
    <row r="3" spans="1:33" ht="30.75" thickBot="1" x14ac:dyDescent="0.3">
      <c r="A3" s="58" t="s">
        <v>105</v>
      </c>
      <c r="B3" s="58" t="s">
        <v>0</v>
      </c>
      <c r="C3" s="58" t="s">
        <v>104</v>
      </c>
      <c r="D3" s="58" t="s">
        <v>106</v>
      </c>
      <c r="E3" s="59" t="s">
        <v>107</v>
      </c>
      <c r="F3" s="59" t="s">
        <v>108</v>
      </c>
      <c r="G3" s="59" t="s">
        <v>109</v>
      </c>
      <c r="H3" s="59" t="s">
        <v>110</v>
      </c>
      <c r="I3" s="59" t="s">
        <v>111</v>
      </c>
      <c r="J3" s="70"/>
      <c r="K3" s="59" t="s">
        <v>107</v>
      </c>
      <c r="L3" s="59" t="s">
        <v>108</v>
      </c>
      <c r="M3" s="59" t="s">
        <v>109</v>
      </c>
      <c r="N3" s="59" t="s">
        <v>110</v>
      </c>
      <c r="O3" s="59" t="s">
        <v>111</v>
      </c>
      <c r="P3" s="70"/>
      <c r="Q3" s="59" t="s">
        <v>107</v>
      </c>
      <c r="R3" s="59" t="s">
        <v>108</v>
      </c>
      <c r="S3" s="59" t="s">
        <v>109</v>
      </c>
      <c r="T3" s="59" t="s">
        <v>110</v>
      </c>
      <c r="U3" s="59" t="s">
        <v>111</v>
      </c>
      <c r="V3" s="70"/>
      <c r="W3" s="59" t="s">
        <v>107</v>
      </c>
      <c r="X3" s="59" t="s">
        <v>108</v>
      </c>
      <c r="Y3" s="59" t="s">
        <v>109</v>
      </c>
      <c r="Z3" s="59" t="s">
        <v>110</v>
      </c>
      <c r="AA3" s="59" t="s">
        <v>111</v>
      </c>
      <c r="AB3" s="70"/>
      <c r="AC3" s="59" t="s">
        <v>107</v>
      </c>
      <c r="AD3" s="59" t="s">
        <v>108</v>
      </c>
      <c r="AE3" s="59" t="s">
        <v>109</v>
      </c>
      <c r="AF3" s="59" t="s">
        <v>126</v>
      </c>
      <c r="AG3" s="70"/>
    </row>
    <row r="4" spans="1:33" ht="75.75" thickBot="1" x14ac:dyDescent="0.3">
      <c r="A4" s="60">
        <v>1</v>
      </c>
      <c r="B4" s="61" t="s">
        <v>114</v>
      </c>
      <c r="C4" s="62" t="s">
        <v>115</v>
      </c>
      <c r="D4" s="63">
        <f>J4+P4+V4+AB4+AG4</f>
        <v>38.510000000000005</v>
      </c>
      <c r="E4" s="62">
        <f>4.02</f>
        <v>4.0199999999999996</v>
      </c>
      <c r="F4" s="62">
        <f>3.6</f>
        <v>3.6</v>
      </c>
      <c r="G4" s="62"/>
      <c r="H4" s="62"/>
      <c r="I4" s="62"/>
      <c r="J4" s="64">
        <f>SUM(E4:I4)</f>
        <v>7.6199999999999992</v>
      </c>
      <c r="K4" s="62">
        <f>4.03</f>
        <v>4.03</v>
      </c>
      <c r="L4" s="62">
        <f>3.4</f>
        <v>3.4</v>
      </c>
      <c r="M4" s="62"/>
      <c r="N4" s="62"/>
      <c r="O4" s="62"/>
      <c r="P4" s="64">
        <f>SUM(K4:O4)</f>
        <v>7.43</v>
      </c>
      <c r="Q4" s="62">
        <f>9.4</f>
        <v>9.4</v>
      </c>
      <c r="R4" s="62">
        <f>3.2+3.3</f>
        <v>6.5</v>
      </c>
      <c r="S4" s="62"/>
      <c r="T4" s="62"/>
      <c r="U4" s="62"/>
      <c r="V4" s="64">
        <f>SUM(Q4:U4)</f>
        <v>15.9</v>
      </c>
      <c r="W4" s="62"/>
      <c r="X4" s="62">
        <f>3.2</f>
        <v>3.2</v>
      </c>
      <c r="Y4" s="62"/>
      <c r="Z4" s="62"/>
      <c r="AA4" s="62">
        <f>0.16</f>
        <v>0.16</v>
      </c>
      <c r="AB4" s="64">
        <f>SUM(W4:AA4)</f>
        <v>3.3600000000000003</v>
      </c>
      <c r="AC4" s="62">
        <v>1.6</v>
      </c>
      <c r="AD4" s="62">
        <f>2.6</f>
        <v>2.6</v>
      </c>
      <c r="AE4" s="62"/>
      <c r="AF4" s="62"/>
      <c r="AG4" s="65">
        <f>SUM(AC4:AF4)</f>
        <v>4.2</v>
      </c>
    </row>
    <row r="5" spans="1:33" ht="75.75" thickBot="1" x14ac:dyDescent="0.3">
      <c r="A5" s="60">
        <v>2</v>
      </c>
      <c r="B5" s="61" t="s">
        <v>113</v>
      </c>
      <c r="C5" s="62" t="s">
        <v>28</v>
      </c>
      <c r="D5" s="63">
        <f>J5+P5+V5+AB5+AG5</f>
        <v>4830.6499999999996</v>
      </c>
      <c r="E5" s="62">
        <f>79.44</f>
        <v>79.44</v>
      </c>
      <c r="F5" s="62">
        <f>170.22</f>
        <v>170.22</v>
      </c>
      <c r="G5" s="62">
        <f>160.58</f>
        <v>160.58000000000001</v>
      </c>
      <c r="H5" s="62">
        <f>160.58</f>
        <v>160.58000000000001</v>
      </c>
      <c r="I5" s="62">
        <f>71.17+3.78</f>
        <v>74.95</v>
      </c>
      <c r="J5" s="64">
        <f>SUM(E5:I5)</f>
        <v>645.7700000000001</v>
      </c>
      <c r="K5" s="62">
        <f>122.21</f>
        <v>122.21</v>
      </c>
      <c r="L5" s="62">
        <f>221.97</f>
        <v>221.97</v>
      </c>
      <c r="M5" s="62">
        <f>207.33</f>
        <v>207.33</v>
      </c>
      <c r="N5" s="62">
        <f>207.33</f>
        <v>207.33</v>
      </c>
      <c r="O5" s="62">
        <f>79.63</f>
        <v>79.63</v>
      </c>
      <c r="P5" s="64">
        <f>SUM(K5:O5)</f>
        <v>838.47</v>
      </c>
      <c r="Q5" s="62">
        <f>443.97</f>
        <v>443.97</v>
      </c>
      <c r="R5" s="62">
        <f>429.39</f>
        <v>429.39</v>
      </c>
      <c r="S5" s="62">
        <f>280.26</f>
        <v>280.26</v>
      </c>
      <c r="T5" s="62">
        <f>199.22</f>
        <v>199.22</v>
      </c>
      <c r="U5" s="62">
        <f>128.67</f>
        <v>128.66999999999999</v>
      </c>
      <c r="V5" s="64">
        <f>SUM(Q5:U5)</f>
        <v>1481.51</v>
      </c>
      <c r="W5" s="62">
        <f>254.6</f>
        <v>254.6</v>
      </c>
      <c r="X5" s="62">
        <f>847.99</f>
        <v>847.99</v>
      </c>
      <c r="Y5" s="62">
        <f>261.45</f>
        <v>261.45</v>
      </c>
      <c r="Z5" s="62">
        <f>27.42</f>
        <v>27.42</v>
      </c>
      <c r="AA5" s="62">
        <f>46.21+5.73</f>
        <v>51.94</v>
      </c>
      <c r="AB5" s="64">
        <f>SUM(W5:AA5)</f>
        <v>1443.4</v>
      </c>
      <c r="AC5" s="67">
        <f>96.2</f>
        <v>96.2</v>
      </c>
      <c r="AD5" s="67">
        <f>134</f>
        <v>134</v>
      </c>
      <c r="AE5" s="67">
        <f>70.9+62.4</f>
        <v>133.30000000000001</v>
      </c>
      <c r="AF5" s="62">
        <f>58</f>
        <v>58</v>
      </c>
      <c r="AG5" s="65">
        <f>SUM(AC5:AF5)</f>
        <v>421.5</v>
      </c>
    </row>
    <row r="6" spans="1:33" ht="75.75" thickBot="1" x14ac:dyDescent="0.3">
      <c r="A6" s="60">
        <v>3</v>
      </c>
      <c r="B6" s="61" t="s">
        <v>128</v>
      </c>
      <c r="C6" s="66" t="s">
        <v>115</v>
      </c>
      <c r="D6" s="63">
        <f>J6+P6+V6+AB6+AG6</f>
        <v>782.9</v>
      </c>
      <c r="E6" s="62"/>
      <c r="F6" s="62">
        <f>60.67</f>
        <v>60.67</v>
      </c>
      <c r="G6" s="62">
        <f>43.71</f>
        <v>43.71</v>
      </c>
      <c r="H6" s="62">
        <f>43.71</f>
        <v>43.71</v>
      </c>
      <c r="I6" s="62">
        <f>13.17</f>
        <v>13.17</v>
      </c>
      <c r="J6" s="64">
        <f>SUM(E6:I6)</f>
        <v>161.26</v>
      </c>
      <c r="K6" s="62"/>
      <c r="L6" s="62">
        <f>50.34</f>
        <v>50.34</v>
      </c>
      <c r="M6" s="62">
        <f>56.09</f>
        <v>56.09</v>
      </c>
      <c r="N6" s="62">
        <f>57.38</f>
        <v>57.38</v>
      </c>
      <c r="O6" s="62">
        <f>13.17</f>
        <v>13.17</v>
      </c>
      <c r="P6" s="64">
        <f>SUM(K6:O6)</f>
        <v>176.98</v>
      </c>
      <c r="Q6" s="62"/>
      <c r="R6" s="62">
        <f>36.12</f>
        <v>36.119999999999997</v>
      </c>
      <c r="S6" s="62">
        <f>59.78</f>
        <v>59.78</v>
      </c>
      <c r="T6" s="62">
        <f>68.31</f>
        <v>68.31</v>
      </c>
      <c r="U6" s="62">
        <f>17.18+17.71</f>
        <v>34.89</v>
      </c>
      <c r="V6" s="64">
        <f>SUM(Q6:U6)</f>
        <v>199.10000000000002</v>
      </c>
      <c r="W6" s="62"/>
      <c r="X6" s="62">
        <f>45.03</f>
        <v>45.03</v>
      </c>
      <c r="Y6" s="62">
        <f>42.93</f>
        <v>42.93</v>
      </c>
      <c r="Z6" s="62">
        <f>42.74</f>
        <v>42.74</v>
      </c>
      <c r="AA6" s="62">
        <f>17.1+21.85</f>
        <v>38.950000000000003</v>
      </c>
      <c r="AB6" s="64">
        <f>SUM(W6:AA6)</f>
        <v>169.65000000000003</v>
      </c>
      <c r="AC6" s="62"/>
      <c r="AD6" s="67">
        <f>41.31</f>
        <v>41.31</v>
      </c>
      <c r="AE6" s="67">
        <f>34.6</f>
        <v>34.6</v>
      </c>
      <c r="AF6" s="62"/>
      <c r="AG6" s="65">
        <f>SUM(AC6:AF6)</f>
        <v>75.91</v>
      </c>
    </row>
    <row r="7" spans="1:33" ht="75.75" thickBot="1" x14ac:dyDescent="0.3">
      <c r="A7" s="60">
        <v>4</v>
      </c>
      <c r="B7" s="61" t="s">
        <v>129</v>
      </c>
      <c r="C7" s="66" t="s">
        <v>28</v>
      </c>
      <c r="D7" s="63">
        <f>J7+P7+V7+AB7+AG7</f>
        <v>1455.3430000000001</v>
      </c>
      <c r="E7" s="62"/>
      <c r="F7" s="62">
        <f>47.24</f>
        <v>47.24</v>
      </c>
      <c r="G7" s="62">
        <v>74.760000000000005</v>
      </c>
      <c r="H7" s="62">
        <f>74.44</f>
        <v>74.44</v>
      </c>
      <c r="I7" s="62"/>
      <c r="J7" s="64">
        <f>SUM(E7:I7)</f>
        <v>196.44</v>
      </c>
      <c r="K7" s="62"/>
      <c r="L7" s="62">
        <f>47.73</f>
        <v>47.73</v>
      </c>
      <c r="M7" s="62">
        <f>45.72</f>
        <v>45.72</v>
      </c>
      <c r="N7" s="62">
        <f>45.4</f>
        <v>45.4</v>
      </c>
      <c r="O7" s="62"/>
      <c r="P7" s="64">
        <f>SUM(K7:O7)</f>
        <v>138.85</v>
      </c>
      <c r="Q7" s="62"/>
      <c r="R7" s="62">
        <f>238.06</f>
        <v>238.06</v>
      </c>
      <c r="S7" s="62">
        <f>321.62</f>
        <v>321.62</v>
      </c>
      <c r="T7" s="62">
        <f>259.143</f>
        <v>259.14299999999997</v>
      </c>
      <c r="U7" s="62">
        <f>16.11+16.11</f>
        <v>32.22</v>
      </c>
      <c r="V7" s="64">
        <f>SUM(Q7:U7)</f>
        <v>851.04300000000012</v>
      </c>
      <c r="W7" s="62"/>
      <c r="X7" s="62">
        <f>42.64</f>
        <v>42.64</v>
      </c>
      <c r="Y7" s="62">
        <f>36.78</f>
        <v>36.78</v>
      </c>
      <c r="Z7" s="62">
        <f>36.48</f>
        <v>36.479999999999997</v>
      </c>
      <c r="AA7" s="62">
        <f>16.11</f>
        <v>16.11</v>
      </c>
      <c r="AB7" s="64">
        <f>SUM(W7:AA7)</f>
        <v>132.01</v>
      </c>
      <c r="AC7" s="62"/>
      <c r="AD7" s="67">
        <f>65.9</f>
        <v>65.900000000000006</v>
      </c>
      <c r="AE7" s="67">
        <f>71.1</f>
        <v>71.099999999999994</v>
      </c>
      <c r="AF7" s="62"/>
      <c r="AG7" s="65">
        <f>SUM(AC7:AF7)</f>
        <v>137</v>
      </c>
    </row>
    <row r="8" spans="1:33" ht="75.75" thickBot="1" x14ac:dyDescent="0.3">
      <c r="A8" s="60">
        <v>5</v>
      </c>
      <c r="B8" s="61" t="s">
        <v>130</v>
      </c>
      <c r="C8" s="66" t="s">
        <v>28</v>
      </c>
      <c r="D8" s="63">
        <f>J8+P8+V8+AB8+AG8</f>
        <v>4716.8900000000003</v>
      </c>
      <c r="E8" s="62"/>
      <c r="F8" s="62">
        <f>235.31</f>
        <v>235.31</v>
      </c>
      <c r="G8" s="62">
        <f>217.18</f>
        <v>217.18</v>
      </c>
      <c r="H8" s="62">
        <f>222.07</f>
        <v>222.07</v>
      </c>
      <c r="I8" s="62"/>
      <c r="J8" s="64">
        <f>SUM(E8:I8)</f>
        <v>674.56</v>
      </c>
      <c r="K8" s="62"/>
      <c r="L8" s="62">
        <f>253.18</f>
        <v>253.18</v>
      </c>
      <c r="M8" s="62">
        <f>232.43</f>
        <v>232.43</v>
      </c>
      <c r="N8" s="62">
        <f>233.57</f>
        <v>233.57</v>
      </c>
      <c r="O8" s="62"/>
      <c r="P8" s="64">
        <f>SUM(K8:O8)</f>
        <v>719.18000000000006</v>
      </c>
      <c r="Q8" s="62"/>
      <c r="R8" s="62">
        <f>430.28</f>
        <v>430.28</v>
      </c>
      <c r="S8" s="62">
        <f>709.19</f>
        <v>709.19</v>
      </c>
      <c r="T8" s="62">
        <f>498.36</f>
        <v>498.36</v>
      </c>
      <c r="U8" s="62"/>
      <c r="V8" s="64">
        <f>SUM(Q8:U8)</f>
        <v>1637.83</v>
      </c>
      <c r="W8" s="62"/>
      <c r="X8" s="62">
        <f>42.09</f>
        <v>42.09</v>
      </c>
      <c r="Y8" s="62">
        <f>301.46</f>
        <v>301.45999999999998</v>
      </c>
      <c r="Z8" s="62">
        <f>362.67</f>
        <v>362.67</v>
      </c>
      <c r="AA8" s="62"/>
      <c r="AB8" s="64">
        <f>SUM(W8:AA8)</f>
        <v>706.22</v>
      </c>
      <c r="AC8" s="62"/>
      <c r="AD8" s="67">
        <f>578.6</f>
        <v>578.6</v>
      </c>
      <c r="AE8" s="67">
        <f>400.5</f>
        <v>400.5</v>
      </c>
      <c r="AF8" s="62"/>
      <c r="AG8" s="65">
        <f>SUM(AC8:AF8)</f>
        <v>979.1</v>
      </c>
    </row>
    <row r="10" spans="1:33" x14ac:dyDescent="0.25">
      <c r="A10" s="71" t="s">
        <v>127</v>
      </c>
      <c r="B10" s="71"/>
      <c r="C10" s="71"/>
      <c r="D10" s="71"/>
    </row>
    <row r="11" spans="1:33" ht="133.5" customHeight="1" x14ac:dyDescent="0.25">
      <c r="A11" s="75" t="s">
        <v>132</v>
      </c>
      <c r="B11" s="75"/>
      <c r="C11" s="75"/>
      <c r="D11" s="75"/>
    </row>
  </sheetData>
  <mergeCells count="13">
    <mergeCell ref="A11:D11"/>
    <mergeCell ref="E2:I2"/>
    <mergeCell ref="K2:O2"/>
    <mergeCell ref="J2:J3"/>
    <mergeCell ref="P2:P3"/>
    <mergeCell ref="W2:AA2"/>
    <mergeCell ref="AB2:AB3"/>
    <mergeCell ref="AC2:AF2"/>
    <mergeCell ref="AG2:AG3"/>
    <mergeCell ref="A10:D10"/>
    <mergeCell ref="Q2:U2"/>
    <mergeCell ref="V2:V3"/>
    <mergeCell ref="A2:D2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20"/>
  <sheetViews>
    <sheetView zoomScale="115" zoomScaleNormal="115" workbookViewId="0">
      <selection activeCell="H18" sqref="H18"/>
    </sheetView>
  </sheetViews>
  <sheetFormatPr defaultRowHeight="15" x14ac:dyDescent="0.25"/>
  <cols>
    <col min="3" max="3" width="15.5703125" style="1" customWidth="1"/>
    <col min="4" max="4" width="6.140625" style="1" customWidth="1"/>
    <col min="5" max="5" width="6.42578125" style="1" customWidth="1"/>
    <col min="6" max="6" width="6.42578125" style="12" customWidth="1"/>
    <col min="7" max="7" width="27.140625" style="1" customWidth="1"/>
    <col min="8" max="8" width="21.140625" style="1" customWidth="1"/>
    <col min="9" max="9" width="19.5703125" style="1" customWidth="1"/>
    <col min="16" max="16" width="12.85546875" customWidth="1"/>
  </cols>
  <sheetData>
    <row r="2" spans="2:16" x14ac:dyDescent="0.25">
      <c r="B2" s="4" t="s">
        <v>1</v>
      </c>
      <c r="C2" s="76">
        <v>3</v>
      </c>
      <c r="D2" s="76"/>
      <c r="E2" s="76"/>
      <c r="F2" s="11"/>
    </row>
    <row r="3" spans="2:16" ht="36.75" customHeight="1" x14ac:dyDescent="0.25">
      <c r="C3" s="3" t="s">
        <v>7</v>
      </c>
      <c r="D3" s="9" t="s">
        <v>4</v>
      </c>
      <c r="E3" s="9" t="s">
        <v>5</v>
      </c>
      <c r="G3" s="15" t="s">
        <v>26</v>
      </c>
      <c r="L3" s="77" t="s">
        <v>20</v>
      </c>
      <c r="M3" s="77"/>
      <c r="N3" s="77"/>
      <c r="O3" s="77"/>
      <c r="P3" s="2"/>
    </row>
    <row r="4" spans="2:16" x14ac:dyDescent="0.25">
      <c r="B4" s="77" t="s">
        <v>2</v>
      </c>
      <c r="C4" s="77">
        <v>2</v>
      </c>
      <c r="D4" s="1">
        <v>1</v>
      </c>
      <c r="E4" s="1">
        <v>0</v>
      </c>
      <c r="G4" s="1">
        <f>(3.4-0.08)*3</f>
        <v>9.9599999999999991</v>
      </c>
      <c r="M4" s="2"/>
      <c r="N4" s="2" t="s">
        <v>12</v>
      </c>
      <c r="O4" s="2" t="s">
        <v>13</v>
      </c>
      <c r="P4" s="2" t="s">
        <v>21</v>
      </c>
    </row>
    <row r="5" spans="2:16" x14ac:dyDescent="0.25">
      <c r="B5" s="77"/>
      <c r="C5" s="77"/>
      <c r="D5" s="9">
        <f>C4*D4*C2</f>
        <v>6</v>
      </c>
      <c r="E5" s="9">
        <f>C4*E4*C2</f>
        <v>0</v>
      </c>
      <c r="F5" s="11"/>
      <c r="G5" s="1">
        <f>(3.4-0.08)*3</f>
        <v>9.9599999999999991</v>
      </c>
      <c r="K5" t="s">
        <v>10</v>
      </c>
      <c r="L5" t="s">
        <v>11</v>
      </c>
      <c r="M5" s="2" t="s">
        <v>19</v>
      </c>
      <c r="N5" s="6">
        <f>3.8-0.16-0.16-0.04-0.04</f>
        <v>3.3999999999999995</v>
      </c>
      <c r="O5" s="6">
        <f>0.98-0.434</f>
        <v>0.54600000000000004</v>
      </c>
      <c r="P5" s="7">
        <f>N5*O5</f>
        <v>1.8563999999999998</v>
      </c>
    </row>
    <row r="6" spans="2:16" x14ac:dyDescent="0.25">
      <c r="C6" s="3" t="s">
        <v>7</v>
      </c>
      <c r="D6" s="9" t="s">
        <v>4</v>
      </c>
      <c r="E6" s="9" t="s">
        <v>5</v>
      </c>
      <c r="G6" s="17">
        <f>(4.1-0.08)*3</f>
        <v>12.059999999999999</v>
      </c>
      <c r="L6" t="s">
        <v>14</v>
      </c>
      <c r="M6" s="2" t="s">
        <v>18</v>
      </c>
      <c r="N6" s="6">
        <v>3.4</v>
      </c>
      <c r="O6" s="6">
        <f>0.98-0.24</f>
        <v>0.74</v>
      </c>
      <c r="P6" s="7">
        <f t="shared" ref="P6:P9" si="0">N6*O6</f>
        <v>2.516</v>
      </c>
    </row>
    <row r="7" spans="2:16" x14ac:dyDescent="0.25">
      <c r="B7" s="77" t="s">
        <v>3</v>
      </c>
      <c r="C7" s="77">
        <v>2</v>
      </c>
      <c r="D7" s="1">
        <v>1</v>
      </c>
      <c r="E7" s="1">
        <v>1</v>
      </c>
      <c r="L7" t="s">
        <v>15</v>
      </c>
      <c r="M7" s="2" t="s">
        <v>19</v>
      </c>
      <c r="N7" s="6">
        <v>3.4</v>
      </c>
      <c r="O7" s="6">
        <f>0.98-0.434</f>
        <v>0.54600000000000004</v>
      </c>
      <c r="P7" s="7">
        <f t="shared" si="0"/>
        <v>1.8564000000000001</v>
      </c>
    </row>
    <row r="8" spans="2:16" x14ac:dyDescent="0.25">
      <c r="B8" s="77"/>
      <c r="C8" s="77"/>
      <c r="D8" s="9">
        <f>C7*D7*C2</f>
        <v>6</v>
      </c>
      <c r="E8" s="9">
        <f>C7*E7*C2</f>
        <v>6</v>
      </c>
      <c r="F8" s="11"/>
      <c r="L8" t="s">
        <v>16</v>
      </c>
      <c r="M8" s="2" t="s">
        <v>19</v>
      </c>
      <c r="N8" s="6">
        <f>4.1</f>
        <v>4.0999999999999996</v>
      </c>
      <c r="O8" s="6">
        <f>0.98-0.434</f>
        <v>0.54600000000000004</v>
      </c>
      <c r="P8" s="7">
        <f t="shared" si="0"/>
        <v>2.2385999999999999</v>
      </c>
    </row>
    <row r="9" spans="2:16" x14ac:dyDescent="0.25">
      <c r="D9" s="10">
        <f>D8+D5</f>
        <v>12</v>
      </c>
      <c r="E9" s="10">
        <f>E8+E5</f>
        <v>6</v>
      </c>
      <c r="F9" s="11"/>
      <c r="L9" t="s">
        <v>17</v>
      </c>
      <c r="M9" s="2" t="s">
        <v>18</v>
      </c>
      <c r="N9" s="6">
        <v>4.5</v>
      </c>
      <c r="O9" s="6">
        <f>0.98-0.24</f>
        <v>0.74</v>
      </c>
      <c r="P9" s="7">
        <f t="shared" si="0"/>
        <v>3.33</v>
      </c>
    </row>
    <row r="10" spans="2:16" x14ac:dyDescent="0.25">
      <c r="M10" s="2"/>
      <c r="N10" s="2"/>
      <c r="O10" s="2"/>
      <c r="P10" s="8">
        <f>SUM(P5:P9)</f>
        <v>11.7974</v>
      </c>
    </row>
    <row r="11" spans="2:16" x14ac:dyDescent="0.25">
      <c r="B11" s="4" t="s">
        <v>6</v>
      </c>
      <c r="C11" s="76">
        <v>2</v>
      </c>
      <c r="D11" s="76"/>
      <c r="E11" s="76"/>
      <c r="F11" s="11"/>
    </row>
    <row r="12" spans="2:16" ht="38.25" customHeight="1" x14ac:dyDescent="0.25">
      <c r="C12" s="3" t="s">
        <v>7</v>
      </c>
      <c r="D12" s="15" t="s">
        <v>23</v>
      </c>
      <c r="E12" s="16" t="s">
        <v>22</v>
      </c>
      <c r="F12" s="13"/>
      <c r="G12" s="3"/>
      <c r="H12" s="15" t="s">
        <v>24</v>
      </c>
      <c r="I12" s="15" t="s">
        <v>25</v>
      </c>
    </row>
    <row r="13" spans="2:16" x14ac:dyDescent="0.25">
      <c r="B13" t="s">
        <v>8</v>
      </c>
      <c r="C13" s="1">
        <v>2</v>
      </c>
      <c r="D13" s="1">
        <f>ROUNDUP((0.98-0.24)/0.75,1)</f>
        <v>1</v>
      </c>
      <c r="E13" s="1">
        <f>D13</f>
        <v>1</v>
      </c>
      <c r="H13" s="10">
        <f>1*D14</f>
        <v>4</v>
      </c>
      <c r="I13" s="10">
        <f>D14*1</f>
        <v>4</v>
      </c>
    </row>
    <row r="14" spans="2:16" x14ac:dyDescent="0.25">
      <c r="D14" s="9">
        <f>C13*D13*C11</f>
        <v>4</v>
      </c>
      <c r="E14" s="9">
        <f>C13*E13*C11</f>
        <v>4</v>
      </c>
      <c r="F14" s="11"/>
    </row>
    <row r="15" spans="2:16" ht="37.5" x14ac:dyDescent="0.25">
      <c r="C15" s="3" t="s">
        <v>7</v>
      </c>
      <c r="D15" s="9" t="s">
        <v>4</v>
      </c>
      <c r="E15" s="9" t="s">
        <v>5</v>
      </c>
      <c r="G15" s="15" t="s">
        <v>26</v>
      </c>
    </row>
    <row r="16" spans="2:16" x14ac:dyDescent="0.25">
      <c r="B16" t="s">
        <v>9</v>
      </c>
      <c r="C16" s="1">
        <v>2</v>
      </c>
      <c r="D16" s="1">
        <v>1</v>
      </c>
      <c r="E16" s="1">
        <v>1</v>
      </c>
      <c r="G16" s="3">
        <f>(3.4-0.08)*3</f>
        <v>9.9599999999999991</v>
      </c>
    </row>
    <row r="17" spans="4:7" x14ac:dyDescent="0.25">
      <c r="D17" s="9">
        <f>C16*D16*C11</f>
        <v>4</v>
      </c>
      <c r="E17" s="9">
        <f>C16*E16*C11</f>
        <v>4</v>
      </c>
      <c r="F17" s="11"/>
      <c r="G17" s="1">
        <f>(4.5-0.08)*3</f>
        <v>13.26</v>
      </c>
    </row>
    <row r="18" spans="4:7" x14ac:dyDescent="0.25">
      <c r="D18" s="10">
        <f>D17+D14</f>
        <v>8</v>
      </c>
      <c r="E18" s="10">
        <f>E17+E14</f>
        <v>8</v>
      </c>
      <c r="F18" s="11"/>
      <c r="G18" s="17">
        <f>SUM(G16:G17)</f>
        <v>23.22</v>
      </c>
    </row>
    <row r="20" spans="4:7" ht="15.75" x14ac:dyDescent="0.25">
      <c r="D20" s="14">
        <f>D18+D9</f>
        <v>20</v>
      </c>
      <c r="E20" s="14">
        <f>E18+E9</f>
        <v>14</v>
      </c>
      <c r="G20" s="14">
        <f>G4+G5+G6+G16+G17</f>
        <v>55.199999999999996</v>
      </c>
    </row>
  </sheetData>
  <mergeCells count="7">
    <mergeCell ref="C11:E11"/>
    <mergeCell ref="L3:O3"/>
    <mergeCell ref="C2:E2"/>
    <mergeCell ref="C4:C5"/>
    <mergeCell ref="B4:B5"/>
    <mergeCell ref="B7:B8"/>
    <mergeCell ref="C7:C8"/>
  </mergeCells>
  <pageMargins left="0.7" right="0.7" top="0.75" bottom="0.75" header="0.3" footer="0.3"/>
  <pageSetup paperSize="9" orientation="portrait" r:id="rId1"/>
  <ignoredErrors>
    <ignoredError sqref="O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73"/>
  <sheetViews>
    <sheetView workbookViewId="0">
      <selection activeCell="AA22" sqref="AA22"/>
    </sheetView>
  </sheetViews>
  <sheetFormatPr defaultRowHeight="15" x14ac:dyDescent="0.25"/>
  <cols>
    <col min="3" max="3" width="9.140625" style="39"/>
    <col min="4" max="4" width="10.7109375" style="39" customWidth="1"/>
    <col min="5" max="10" width="9.140625" style="39"/>
    <col min="15" max="15" width="9.140625" style="5"/>
    <col min="24" max="24" width="9.140625" style="34"/>
    <col min="25" max="25" width="9.140625" style="12"/>
    <col min="26" max="26" width="9.140625" style="42"/>
  </cols>
  <sheetData>
    <row r="1" spans="2:28" x14ac:dyDescent="0.25">
      <c r="K1" s="39"/>
    </row>
    <row r="2" spans="2:28" x14ac:dyDescent="0.25">
      <c r="B2" t="s">
        <v>35</v>
      </c>
      <c r="C2" s="39">
        <v>1.5</v>
      </c>
      <c r="D2" s="39">
        <v>1.5</v>
      </c>
      <c r="E2" s="5">
        <v>1.1000000000000001</v>
      </c>
      <c r="F2" s="39">
        <v>1.8</v>
      </c>
      <c r="G2" s="39">
        <v>1.5</v>
      </c>
      <c r="H2" s="39">
        <v>1.1000000000000001</v>
      </c>
      <c r="I2" s="25">
        <f>SUM(C2:H2)</f>
        <v>8.5</v>
      </c>
      <c r="K2" s="39"/>
      <c r="L2" s="50"/>
      <c r="M2" s="39"/>
      <c r="N2" s="39"/>
      <c r="O2"/>
      <c r="X2"/>
      <c r="Y2" s="43"/>
      <c r="Z2" s="43"/>
    </row>
    <row r="3" spans="2:28" x14ac:dyDescent="0.25">
      <c r="C3" s="39" t="s">
        <v>65</v>
      </c>
      <c r="D3" s="39" t="s">
        <v>65</v>
      </c>
      <c r="E3" s="5" t="s">
        <v>65</v>
      </c>
      <c r="F3" s="39" t="s">
        <v>65</v>
      </c>
      <c r="G3" s="39" t="s">
        <v>66</v>
      </c>
      <c r="H3" s="39" t="s">
        <v>65</v>
      </c>
      <c r="K3" s="39"/>
      <c r="L3" s="39"/>
      <c r="M3" s="39"/>
      <c r="N3" s="39"/>
      <c r="O3"/>
      <c r="Y3" s="12" t="s">
        <v>97</v>
      </c>
    </row>
    <row r="4" spans="2:28" x14ac:dyDescent="0.25">
      <c r="C4" s="39" t="s">
        <v>65</v>
      </c>
      <c r="D4" s="39" t="s">
        <v>65</v>
      </c>
      <c r="E4" s="5" t="s">
        <v>65</v>
      </c>
      <c r="F4" s="39" t="s">
        <v>65</v>
      </c>
      <c r="G4" s="39" t="s">
        <v>66</v>
      </c>
      <c r="H4" s="39" t="s">
        <v>65</v>
      </c>
      <c r="K4" s="39"/>
      <c r="L4" s="39"/>
      <c r="M4" s="39"/>
      <c r="N4" s="39"/>
      <c r="O4"/>
      <c r="X4" s="47" t="s">
        <v>32</v>
      </c>
      <c r="Y4" s="12">
        <v>227</v>
      </c>
      <c r="Z4" s="42">
        <f>P38+S38</f>
        <v>223</v>
      </c>
    </row>
    <row r="5" spans="2:28" x14ac:dyDescent="0.25">
      <c r="D5"/>
      <c r="E5" s="5"/>
      <c r="K5" s="39"/>
      <c r="L5" s="76" t="s">
        <v>46</v>
      </c>
      <c r="M5" s="78">
        <f>1*3</f>
        <v>3</v>
      </c>
      <c r="N5" s="78"/>
      <c r="O5"/>
      <c r="X5" s="47" t="s">
        <v>31</v>
      </c>
      <c r="Y5" s="12">
        <v>227</v>
      </c>
      <c r="Z5" s="42">
        <f>O38+T38</f>
        <v>223</v>
      </c>
    </row>
    <row r="6" spans="2:28" x14ac:dyDescent="0.25">
      <c r="B6" t="s">
        <v>34</v>
      </c>
      <c r="C6" s="39">
        <v>1.75</v>
      </c>
      <c r="D6" s="39">
        <v>1.59</v>
      </c>
      <c r="E6" s="38">
        <f>SUM(C6:D6)</f>
        <v>3.34</v>
      </c>
      <c r="K6" s="39"/>
      <c r="L6" s="76"/>
      <c r="M6" s="9" t="s">
        <v>4</v>
      </c>
      <c r="N6" s="9" t="s">
        <v>5</v>
      </c>
      <c r="O6"/>
      <c r="X6" s="47" t="s">
        <v>59</v>
      </c>
      <c r="Y6" s="12">
        <v>239.52</v>
      </c>
      <c r="AA6" s="43"/>
      <c r="AB6" s="43"/>
    </row>
    <row r="7" spans="2:28" x14ac:dyDescent="0.25">
      <c r="C7" s="39" t="s">
        <v>64</v>
      </c>
      <c r="D7" s="39" t="s">
        <v>57</v>
      </c>
      <c r="E7" s="5"/>
      <c r="K7" s="39"/>
      <c r="L7" s="76"/>
      <c r="M7" s="5">
        <v>1</v>
      </c>
      <c r="N7" s="39">
        <v>1</v>
      </c>
      <c r="O7"/>
      <c r="X7" s="47" t="s">
        <v>60</v>
      </c>
      <c r="Y7" s="12">
        <v>122.1</v>
      </c>
      <c r="AA7" s="43"/>
      <c r="AB7" s="43"/>
    </row>
    <row r="8" spans="2:28" x14ac:dyDescent="0.25">
      <c r="D8" s="39" t="s">
        <v>64</v>
      </c>
      <c r="E8" s="5"/>
      <c r="K8" s="39"/>
      <c r="L8" s="76"/>
      <c r="M8" s="18">
        <f>M7*M5</f>
        <v>3</v>
      </c>
      <c r="N8" s="9">
        <f>N7*M5</f>
        <v>3</v>
      </c>
      <c r="O8"/>
      <c r="X8" s="43"/>
      <c r="Y8" s="43"/>
      <c r="Z8" s="43"/>
      <c r="AA8" s="43"/>
      <c r="AB8" s="43"/>
    </row>
    <row r="9" spans="2:28" x14ac:dyDescent="0.25">
      <c r="X9" s="41"/>
      <c r="Y9" s="12" t="s">
        <v>97</v>
      </c>
      <c r="AA9" s="43"/>
      <c r="AB9" s="43"/>
    </row>
    <row r="10" spans="2:28" x14ac:dyDescent="0.25">
      <c r="B10" t="s">
        <v>57</v>
      </c>
      <c r="C10" s="36">
        <v>10</v>
      </c>
      <c r="D10" s="39" t="s">
        <v>56</v>
      </c>
      <c r="E10" s="39">
        <v>3.53</v>
      </c>
      <c r="I10" s="76" t="s">
        <v>33</v>
      </c>
      <c r="J10" s="78">
        <v>30</v>
      </c>
      <c r="K10" s="78"/>
      <c r="L10" s="30"/>
      <c r="M10" s="76" t="s">
        <v>39</v>
      </c>
      <c r="N10" s="78">
        <f>20*4</f>
        <v>80</v>
      </c>
      <c r="O10" s="78"/>
      <c r="Q10" s="76" t="s">
        <v>29</v>
      </c>
      <c r="R10" s="78">
        <f>22*3</f>
        <v>66</v>
      </c>
      <c r="S10" s="78"/>
      <c r="T10" s="78"/>
      <c r="X10" s="41">
        <v>1</v>
      </c>
      <c r="Y10" s="37">
        <v>24</v>
      </c>
      <c r="Z10" s="40">
        <f>D22+C10+C11</f>
        <v>24</v>
      </c>
      <c r="AA10" s="37">
        <f>U20+P27+D22</f>
        <v>24</v>
      </c>
      <c r="AB10" s="43"/>
    </row>
    <row r="11" spans="2:28" ht="18" customHeight="1" x14ac:dyDescent="0.25">
      <c r="B11" t="s">
        <v>64</v>
      </c>
      <c r="C11" s="36">
        <v>13</v>
      </c>
      <c r="D11" s="39" t="s">
        <v>56</v>
      </c>
      <c r="E11" s="39">
        <v>3.24</v>
      </c>
      <c r="I11" s="76"/>
      <c r="J11" s="9" t="s">
        <v>4</v>
      </c>
      <c r="K11" s="9" t="s">
        <v>5</v>
      </c>
      <c r="L11" s="9"/>
      <c r="M11" s="76"/>
      <c r="N11" s="9" t="s">
        <v>4</v>
      </c>
      <c r="O11" s="9" t="s">
        <v>49</v>
      </c>
      <c r="Q11" s="76"/>
      <c r="R11" s="9" t="s">
        <v>4</v>
      </c>
      <c r="S11" s="9" t="s">
        <v>30</v>
      </c>
      <c r="T11" s="9" t="s">
        <v>5</v>
      </c>
      <c r="X11" s="41">
        <v>2</v>
      </c>
      <c r="Y11" s="37">
        <v>12</v>
      </c>
      <c r="Z11" s="37">
        <f>C12+C13</f>
        <v>12</v>
      </c>
      <c r="AA11" s="37">
        <f>V20+L32</f>
        <v>12</v>
      </c>
      <c r="AB11" s="43"/>
    </row>
    <row r="12" spans="2:28" x14ac:dyDescent="0.25">
      <c r="B12" t="s">
        <v>65</v>
      </c>
      <c r="C12" s="36">
        <v>10</v>
      </c>
      <c r="D12" s="39" t="s">
        <v>53</v>
      </c>
      <c r="E12" s="39">
        <v>3.24</v>
      </c>
      <c r="I12" s="76"/>
      <c r="J12" s="5">
        <v>1</v>
      </c>
      <c r="K12" s="39">
        <v>1</v>
      </c>
      <c r="M12" s="76"/>
      <c r="N12" s="5">
        <v>2</v>
      </c>
      <c r="O12" s="39"/>
      <c r="Q12" s="76"/>
      <c r="R12" s="5">
        <v>1</v>
      </c>
      <c r="S12" s="5">
        <v>1</v>
      </c>
      <c r="T12" s="5">
        <v>1</v>
      </c>
      <c r="X12" s="41" t="s">
        <v>4</v>
      </c>
      <c r="Y12" s="45">
        <v>251</v>
      </c>
      <c r="Z12" s="45">
        <f>J13+N13+R13+J20+M8</f>
        <v>256</v>
      </c>
      <c r="AA12" s="53"/>
      <c r="AB12" s="43"/>
    </row>
    <row r="13" spans="2:28" x14ac:dyDescent="0.25">
      <c r="B13" t="s">
        <v>66</v>
      </c>
      <c r="C13" s="36">
        <v>2</v>
      </c>
      <c r="D13" s="39" t="s">
        <v>53</v>
      </c>
      <c r="E13" s="39">
        <v>3.53</v>
      </c>
      <c r="I13" s="76"/>
      <c r="J13" s="18">
        <f>J12*J10</f>
        <v>30</v>
      </c>
      <c r="K13" s="9">
        <f>K12*J10</f>
        <v>30</v>
      </c>
      <c r="M13" s="76"/>
      <c r="N13" s="18">
        <f>N12*N10-4-4+D21+D37</f>
        <v>157</v>
      </c>
      <c r="O13" s="39"/>
      <c r="Q13" s="76"/>
      <c r="R13" s="18">
        <f>R12*R10</f>
        <v>66</v>
      </c>
      <c r="S13" s="18">
        <f>S12*R10</f>
        <v>66</v>
      </c>
      <c r="T13" s="18">
        <f>T12*R10</f>
        <v>66</v>
      </c>
      <c r="X13" s="41" t="s">
        <v>41</v>
      </c>
      <c r="Y13" s="54">
        <v>23</v>
      </c>
      <c r="Z13" s="54">
        <f>R20+N27</f>
        <v>23</v>
      </c>
      <c r="AA13" s="53"/>
      <c r="AB13" s="43"/>
    </row>
    <row r="14" spans="2:28" x14ac:dyDescent="0.25">
      <c r="N14" t="s">
        <v>93</v>
      </c>
      <c r="X14" s="41" t="s">
        <v>58</v>
      </c>
      <c r="Y14" s="54">
        <v>12</v>
      </c>
      <c r="Z14" s="54">
        <f>S20+O27</f>
        <v>12</v>
      </c>
      <c r="AA14" s="53"/>
      <c r="AB14" s="43"/>
    </row>
    <row r="15" spans="2:28" x14ac:dyDescent="0.25">
      <c r="B15" t="s">
        <v>63</v>
      </c>
      <c r="C15" s="39" t="s">
        <v>69</v>
      </c>
      <c r="D15" s="39" t="s">
        <v>71</v>
      </c>
      <c r="E15" s="11">
        <f>C10+C11+D22</f>
        <v>24</v>
      </c>
      <c r="X15" s="41" t="s">
        <v>30</v>
      </c>
      <c r="Y15" s="54">
        <v>66</v>
      </c>
      <c r="Z15" s="54">
        <f>S13</f>
        <v>66</v>
      </c>
      <c r="AA15" s="53" t="s">
        <v>96</v>
      </c>
      <c r="AB15" s="43"/>
    </row>
    <row r="16" spans="2:28" x14ac:dyDescent="0.25">
      <c r="B16" t="s">
        <v>63</v>
      </c>
      <c r="C16" s="39" t="s">
        <v>70</v>
      </c>
      <c r="D16" s="39" t="s">
        <v>72</v>
      </c>
      <c r="E16" s="9">
        <f>C12+C13</f>
        <v>12</v>
      </c>
      <c r="X16" s="41" t="s">
        <v>37</v>
      </c>
      <c r="Y16" s="54">
        <v>32</v>
      </c>
      <c r="Z16" s="54">
        <f>N20+T27</f>
        <v>32</v>
      </c>
      <c r="AA16" s="53">
        <f>Z16+Z17</f>
        <v>35</v>
      </c>
      <c r="AB16" s="43">
        <f>C10+C11+C12+C13</f>
        <v>35</v>
      </c>
    </row>
    <row r="17" spans="2:28" x14ac:dyDescent="0.25">
      <c r="I17" s="76" t="s">
        <v>84</v>
      </c>
      <c r="J17" s="78">
        <v>0</v>
      </c>
      <c r="K17" s="78"/>
      <c r="L17" s="30"/>
      <c r="M17" s="76" t="s">
        <v>36</v>
      </c>
      <c r="N17" s="78">
        <v>17</v>
      </c>
      <c r="O17" s="78"/>
      <c r="Q17" s="76" t="s">
        <v>40</v>
      </c>
      <c r="R17" s="78">
        <v>18</v>
      </c>
      <c r="S17" s="78"/>
      <c r="T17" s="78"/>
      <c r="U17" s="78"/>
      <c r="V17" s="78"/>
      <c r="X17" s="41" t="s">
        <v>48</v>
      </c>
      <c r="Y17" s="54">
        <v>3</v>
      </c>
      <c r="Z17" s="54">
        <f>J27</f>
        <v>3</v>
      </c>
      <c r="AA17" s="53"/>
      <c r="AB17" s="43"/>
    </row>
    <row r="18" spans="2:28" ht="27" x14ac:dyDescent="0.25">
      <c r="B18" t="s">
        <v>62</v>
      </c>
      <c r="C18" s="39">
        <v>1</v>
      </c>
      <c r="D18" s="39" t="s">
        <v>87</v>
      </c>
      <c r="I18" s="76"/>
      <c r="J18" s="9" t="s">
        <v>4</v>
      </c>
      <c r="K18" s="9" t="s">
        <v>49</v>
      </c>
      <c r="L18" s="9"/>
      <c r="M18" s="76"/>
      <c r="N18" s="9" t="s">
        <v>37</v>
      </c>
      <c r="O18" s="9" t="s">
        <v>38</v>
      </c>
      <c r="Q18" s="76"/>
      <c r="R18" s="16" t="s">
        <v>43</v>
      </c>
      <c r="S18" s="16" t="s">
        <v>42</v>
      </c>
      <c r="T18" s="9" t="s">
        <v>5</v>
      </c>
      <c r="U18" s="16" t="s">
        <v>44</v>
      </c>
      <c r="V18" s="16" t="s">
        <v>45</v>
      </c>
      <c r="X18" s="44"/>
      <c r="Y18" s="52"/>
      <c r="Z18" s="52"/>
      <c r="AA18" s="53"/>
      <c r="AB18" s="43"/>
    </row>
    <row r="19" spans="2:28" x14ac:dyDescent="0.25">
      <c r="B19" t="s">
        <v>77</v>
      </c>
      <c r="C19" s="39">
        <v>1</v>
      </c>
      <c r="D19" s="39">
        <f>C19*C18</f>
        <v>1</v>
      </c>
      <c r="E19" s="39" t="s">
        <v>67</v>
      </c>
      <c r="I19" s="76"/>
      <c r="J19" s="5">
        <v>1</v>
      </c>
      <c r="K19" s="5"/>
      <c r="L19" s="5"/>
      <c r="M19" s="76"/>
      <c r="N19" s="5">
        <f>1</f>
        <v>1</v>
      </c>
      <c r="O19" s="5">
        <v>4</v>
      </c>
      <c r="Q19" s="76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41" t="s">
        <v>5</v>
      </c>
      <c r="Y19" s="45">
        <v>127</v>
      </c>
      <c r="Z19" s="45">
        <f>N8+K13+T13+T20+K32</f>
        <v>131</v>
      </c>
      <c r="AA19" s="53" t="s">
        <v>96</v>
      </c>
      <c r="AB19" s="43"/>
    </row>
    <row r="20" spans="2:28" x14ac:dyDescent="0.25">
      <c r="B20" t="s">
        <v>78</v>
      </c>
      <c r="C20" s="39">
        <v>1</v>
      </c>
      <c r="D20" s="39">
        <f>C20*C18</f>
        <v>1</v>
      </c>
      <c r="I20" s="76"/>
      <c r="J20" s="18">
        <f>J19*J17</f>
        <v>0</v>
      </c>
      <c r="K20" s="18"/>
      <c r="L20" s="18"/>
      <c r="M20" s="76"/>
      <c r="N20" s="18">
        <f>N19*N17+(X25*X22)+(X27*X31)+(D26*N19)+D30*N19+D41*N19+D46*N19+D50*N19+D55*N19</f>
        <v>29</v>
      </c>
      <c r="O20" s="18">
        <f>N20*O19</f>
        <v>116</v>
      </c>
      <c r="Q20" s="76"/>
      <c r="R20" s="9">
        <f>R19*R17+D19*R19+D33*R19</f>
        <v>20</v>
      </c>
      <c r="S20" s="9">
        <f>S19*D25+D29*S19+D40*S19+D44*S19+D50*S19+D53*S19</f>
        <v>12</v>
      </c>
      <c r="T20" s="9">
        <f>R17+D19+D25+D29+D33+D40+D44+D49+D53</f>
        <v>32</v>
      </c>
      <c r="U20" s="9">
        <f>R20*U19</f>
        <v>20</v>
      </c>
      <c r="V20" s="9">
        <f>S20*V19</f>
        <v>12</v>
      </c>
      <c r="X20" s="41" t="s">
        <v>38</v>
      </c>
      <c r="Y20" s="54">
        <v>128</v>
      </c>
      <c r="Z20" s="54">
        <f>O20+U27</f>
        <v>128</v>
      </c>
      <c r="AA20" s="53"/>
      <c r="AB20" s="43"/>
    </row>
    <row r="21" spans="2:28" x14ac:dyDescent="0.25">
      <c r="B21" t="s">
        <v>79</v>
      </c>
      <c r="C21" s="39">
        <v>1</v>
      </c>
      <c r="D21" s="39">
        <f>C21*C18</f>
        <v>1</v>
      </c>
      <c r="F21" s="39" t="s">
        <v>92</v>
      </c>
      <c r="X21" s="41"/>
      <c r="AA21" s="43"/>
      <c r="AB21" s="43"/>
    </row>
    <row r="22" spans="2:28" x14ac:dyDescent="0.25">
      <c r="B22" t="s">
        <v>69</v>
      </c>
      <c r="C22" s="39">
        <v>1</v>
      </c>
      <c r="D22" s="11">
        <f>C22*C18</f>
        <v>1</v>
      </c>
      <c r="X22" s="41"/>
      <c r="AA22" s="43"/>
      <c r="AB22" s="43"/>
    </row>
    <row r="23" spans="2:28" x14ac:dyDescent="0.25">
      <c r="X23" s="41"/>
      <c r="AA23" s="43"/>
      <c r="AB23" s="43"/>
    </row>
    <row r="24" spans="2:28" x14ac:dyDescent="0.25">
      <c r="B24" t="s">
        <v>52</v>
      </c>
      <c r="C24" s="39">
        <v>1</v>
      </c>
      <c r="D24" s="39" t="s">
        <v>85</v>
      </c>
      <c r="I24" s="76" t="s">
        <v>47</v>
      </c>
      <c r="J24" s="78">
        <v>2</v>
      </c>
      <c r="K24" s="78"/>
      <c r="M24" s="76" t="s">
        <v>50</v>
      </c>
      <c r="N24" s="78">
        <v>2</v>
      </c>
      <c r="O24" s="78"/>
      <c r="P24" s="78"/>
      <c r="Q24" s="78"/>
      <c r="R24" s="31"/>
      <c r="S24" s="76" t="s">
        <v>55</v>
      </c>
      <c r="T24" s="78">
        <v>1</v>
      </c>
      <c r="U24" s="78"/>
    </row>
    <row r="25" spans="2:28" ht="27" x14ac:dyDescent="0.25">
      <c r="B25" s="21" t="s">
        <v>77</v>
      </c>
      <c r="C25" s="39">
        <v>2</v>
      </c>
      <c r="D25" s="39">
        <f>C25*C24</f>
        <v>2</v>
      </c>
      <c r="I25" s="76"/>
      <c r="J25" s="9" t="s">
        <v>48</v>
      </c>
      <c r="K25" s="9" t="s">
        <v>49</v>
      </c>
      <c r="M25" s="76"/>
      <c r="N25" s="16" t="s">
        <v>43</v>
      </c>
      <c r="O25" s="16" t="s">
        <v>42</v>
      </c>
      <c r="P25" s="16" t="s">
        <v>44</v>
      </c>
      <c r="Q25" s="16" t="s">
        <v>45</v>
      </c>
      <c r="R25" s="16"/>
      <c r="S25" s="76"/>
      <c r="T25" s="9" t="s">
        <v>37</v>
      </c>
      <c r="U25" s="9" t="s">
        <v>38</v>
      </c>
    </row>
    <row r="26" spans="2:28" x14ac:dyDescent="0.25">
      <c r="B26" s="21" t="s">
        <v>80</v>
      </c>
      <c r="C26" s="39">
        <v>2</v>
      </c>
      <c r="D26" s="39">
        <f>C26*C24</f>
        <v>2</v>
      </c>
      <c r="I26" s="76"/>
      <c r="J26" s="5">
        <v>1</v>
      </c>
      <c r="M26" s="76"/>
      <c r="N26" s="5">
        <v>1</v>
      </c>
      <c r="O26" s="5" t="s">
        <v>27</v>
      </c>
      <c r="P26" s="5">
        <f>N26</f>
        <v>1</v>
      </c>
      <c r="Q26" s="5" t="s">
        <v>27</v>
      </c>
      <c r="R26" s="5"/>
      <c r="S26" s="76"/>
      <c r="T26" s="5">
        <v>1</v>
      </c>
      <c r="U26" s="5">
        <f>T26*4</f>
        <v>4</v>
      </c>
    </row>
    <row r="27" spans="2:28" x14ac:dyDescent="0.25">
      <c r="I27" s="76"/>
      <c r="J27" s="18">
        <f>J26*J24+D36*J26</f>
        <v>3</v>
      </c>
      <c r="M27" s="76"/>
      <c r="N27" s="9">
        <f>N26*N24+D34*N26</f>
        <v>3</v>
      </c>
      <c r="O27" s="9"/>
      <c r="P27" s="9">
        <f>N27*P26</f>
        <v>3</v>
      </c>
      <c r="S27" s="76"/>
      <c r="T27" s="18">
        <f>D20*T26+D35*T26+T24</f>
        <v>3</v>
      </c>
      <c r="U27" s="18">
        <f>T27*U26</f>
        <v>12</v>
      </c>
    </row>
    <row r="28" spans="2:28" x14ac:dyDescent="0.25">
      <c r="B28" t="s">
        <v>51</v>
      </c>
      <c r="C28" s="39">
        <v>5</v>
      </c>
      <c r="D28" s="39" t="s">
        <v>85</v>
      </c>
    </row>
    <row r="29" spans="2:28" x14ac:dyDescent="0.25">
      <c r="B29" t="s">
        <v>77</v>
      </c>
      <c r="C29" s="39">
        <v>2</v>
      </c>
      <c r="D29" s="39">
        <f>C29*C28</f>
        <v>10</v>
      </c>
      <c r="I29" s="76" t="s">
        <v>88</v>
      </c>
      <c r="J29" s="81"/>
      <c r="K29" s="81"/>
      <c r="L29" s="81"/>
    </row>
    <row r="30" spans="2:28" x14ac:dyDescent="0.25">
      <c r="B30" t="s">
        <v>80</v>
      </c>
      <c r="C30" s="39">
        <v>2</v>
      </c>
      <c r="D30" s="39">
        <f>C30*C28</f>
        <v>10</v>
      </c>
      <c r="I30" s="76"/>
      <c r="J30" s="18" t="s">
        <v>89</v>
      </c>
      <c r="K30" s="18" t="s">
        <v>5</v>
      </c>
      <c r="L30" s="18">
        <v>2</v>
      </c>
    </row>
    <row r="31" spans="2:28" x14ac:dyDescent="0.25">
      <c r="I31" s="76"/>
      <c r="J31" s="5">
        <v>2</v>
      </c>
      <c r="K31" s="5">
        <v>2</v>
      </c>
      <c r="L31" s="5">
        <v>1</v>
      </c>
    </row>
    <row r="32" spans="2:28" x14ac:dyDescent="0.25">
      <c r="B32" t="s">
        <v>54</v>
      </c>
      <c r="C32" s="39">
        <v>1</v>
      </c>
      <c r="D32" s="33" t="s">
        <v>86</v>
      </c>
      <c r="I32" s="76"/>
      <c r="J32" s="9">
        <f>J31*D45+D54*J31</f>
        <v>0</v>
      </c>
      <c r="K32" s="9">
        <f>D45*K31+D54*K31</f>
        <v>0</v>
      </c>
      <c r="L32" s="9">
        <f>D45*L31+D54*L31</f>
        <v>0</v>
      </c>
    </row>
    <row r="33" spans="2:26" x14ac:dyDescent="0.25">
      <c r="B33" t="s">
        <v>77</v>
      </c>
      <c r="C33" s="39">
        <v>1</v>
      </c>
      <c r="D33" s="39">
        <f>C33*C32</f>
        <v>1</v>
      </c>
      <c r="E33" s="39" t="s">
        <v>67</v>
      </c>
    </row>
    <row r="34" spans="2:26" x14ac:dyDescent="0.25">
      <c r="B34" t="s">
        <v>81</v>
      </c>
      <c r="C34" s="39">
        <v>1</v>
      </c>
      <c r="D34" s="39">
        <f>C34*C32</f>
        <v>1</v>
      </c>
    </row>
    <row r="35" spans="2:26" x14ac:dyDescent="0.25">
      <c r="B35" t="s">
        <v>78</v>
      </c>
      <c r="C35" s="39">
        <v>1</v>
      </c>
      <c r="D35" s="39">
        <f>C35*C32</f>
        <v>1</v>
      </c>
      <c r="I35" s="76"/>
      <c r="J35" s="76"/>
      <c r="K35" s="76"/>
      <c r="N35" s="76" t="s">
        <v>39</v>
      </c>
      <c r="O35" s="78"/>
      <c r="P35" s="78"/>
      <c r="R35" s="76" t="s">
        <v>29</v>
      </c>
      <c r="S35" s="78"/>
      <c r="T35" s="78"/>
      <c r="U35" s="78"/>
      <c r="W35" s="76" t="s">
        <v>84</v>
      </c>
      <c r="X35" s="78"/>
      <c r="Y35" s="78"/>
      <c r="Z35" s="12"/>
    </row>
    <row r="36" spans="2:26" x14ac:dyDescent="0.25">
      <c r="B36" t="s">
        <v>82</v>
      </c>
      <c r="C36" s="39">
        <v>1</v>
      </c>
      <c r="D36" s="39">
        <f>C36*C32</f>
        <v>1</v>
      </c>
      <c r="I36" s="76" t="s">
        <v>33</v>
      </c>
      <c r="J36" s="79" t="s">
        <v>99</v>
      </c>
      <c r="K36" s="79"/>
      <c r="N36" s="76"/>
      <c r="O36" s="9" t="s">
        <v>31</v>
      </c>
      <c r="P36" s="9" t="s">
        <v>32</v>
      </c>
      <c r="R36" s="76"/>
      <c r="S36" s="9" t="s">
        <v>32</v>
      </c>
      <c r="T36" s="9" t="s">
        <v>31</v>
      </c>
      <c r="U36" s="9"/>
      <c r="W36" s="76"/>
      <c r="X36" s="9" t="s">
        <v>59</v>
      </c>
      <c r="Y36" s="11"/>
      <c r="Z36" s="12"/>
    </row>
    <row r="37" spans="2:26" x14ac:dyDescent="0.25">
      <c r="B37" t="s">
        <v>79</v>
      </c>
      <c r="C37" s="39">
        <v>4</v>
      </c>
      <c r="D37" s="39">
        <f>C37*C32</f>
        <v>4</v>
      </c>
      <c r="F37" s="39" t="s">
        <v>92</v>
      </c>
      <c r="I37" s="76"/>
      <c r="J37" s="5"/>
      <c r="K37" s="5">
        <f t="shared" ref="K37:K52" si="0">J37*3</f>
        <v>0</v>
      </c>
      <c r="L37" s="80" t="s">
        <v>100</v>
      </c>
      <c r="N37" s="76"/>
      <c r="O37" s="5">
        <v>2</v>
      </c>
      <c r="P37" s="39">
        <v>2</v>
      </c>
      <c r="R37" s="76"/>
      <c r="S37" s="5">
        <v>1</v>
      </c>
      <c r="T37" s="5">
        <v>1</v>
      </c>
      <c r="U37" s="5"/>
      <c r="W37" s="76"/>
      <c r="X37" s="5">
        <v>0.48</v>
      </c>
      <c r="Y37" s="42">
        <f>X37*3</f>
        <v>1.44</v>
      </c>
      <c r="Z37" s="12"/>
    </row>
    <row r="38" spans="2:26" x14ac:dyDescent="0.25">
      <c r="I38" s="76"/>
      <c r="J38" s="5"/>
      <c r="K38" s="5">
        <f t="shared" si="0"/>
        <v>0</v>
      </c>
      <c r="L38" s="80"/>
      <c r="N38" s="76"/>
      <c r="O38" s="18">
        <f>N12*N10-4-4+D21+D37</f>
        <v>157</v>
      </c>
      <c r="P38" s="9">
        <f>O38</f>
        <v>157</v>
      </c>
      <c r="R38" s="76"/>
      <c r="S38" s="18">
        <f>R12*R10</f>
        <v>66</v>
      </c>
      <c r="T38" s="18">
        <f>S38</f>
        <v>66</v>
      </c>
      <c r="U38" s="18"/>
      <c r="W38" s="76"/>
      <c r="X38" s="49">
        <v>2.74</v>
      </c>
      <c r="Y38" s="51">
        <f>X38*3</f>
        <v>8.2200000000000006</v>
      </c>
      <c r="Z38" s="12"/>
    </row>
    <row r="39" spans="2:26" x14ac:dyDescent="0.25">
      <c r="B39" t="s">
        <v>73</v>
      </c>
      <c r="C39" s="39">
        <v>0</v>
      </c>
      <c r="D39" s="39" t="s">
        <v>85</v>
      </c>
      <c r="I39" s="76"/>
      <c r="K39" s="39">
        <f t="shared" si="0"/>
        <v>0</v>
      </c>
      <c r="L39" s="80"/>
      <c r="O39"/>
      <c r="P39" s="5"/>
      <c r="X39"/>
      <c r="Y39" s="11">
        <f>SUM(Y37:Y38)</f>
        <v>9.66</v>
      </c>
      <c r="Z39" s="12"/>
    </row>
    <row r="40" spans="2:26" x14ac:dyDescent="0.25">
      <c r="B40" t="s">
        <v>77</v>
      </c>
      <c r="C40" s="39">
        <v>2</v>
      </c>
      <c r="D40" s="39">
        <f>C40*C39</f>
        <v>0</v>
      </c>
      <c r="I40" s="76"/>
      <c r="J40" s="5"/>
      <c r="K40" s="39">
        <f t="shared" si="0"/>
        <v>0</v>
      </c>
      <c r="L40" s="80"/>
      <c r="O40"/>
      <c r="P40" s="5"/>
      <c r="X40"/>
      <c r="Y40" s="41"/>
      <c r="Z40" s="12"/>
    </row>
    <row r="41" spans="2:26" x14ac:dyDescent="0.25">
      <c r="B41" t="s">
        <v>80</v>
      </c>
      <c r="C41" s="39">
        <v>2</v>
      </c>
      <c r="D41" s="39">
        <f>C41*C39</f>
        <v>0</v>
      </c>
      <c r="I41" s="76"/>
      <c r="K41" s="39">
        <f t="shared" si="0"/>
        <v>0</v>
      </c>
      <c r="L41" s="80"/>
      <c r="O41"/>
      <c r="P41" s="5"/>
      <c r="X41"/>
      <c r="Y41" s="41"/>
      <c r="Z41" s="12"/>
    </row>
    <row r="42" spans="2:26" x14ac:dyDescent="0.25">
      <c r="I42" s="76"/>
      <c r="K42" s="39">
        <f t="shared" si="0"/>
        <v>0</v>
      </c>
      <c r="L42" s="80"/>
      <c r="O42"/>
      <c r="P42" s="5"/>
      <c r="X42"/>
      <c r="Y42" s="41"/>
      <c r="Z42" s="12"/>
    </row>
    <row r="43" spans="2:26" x14ac:dyDescent="0.25">
      <c r="B43" t="s">
        <v>74</v>
      </c>
      <c r="C43" s="39">
        <v>0</v>
      </c>
      <c r="D43" s="39" t="s">
        <v>85</v>
      </c>
      <c r="I43" s="76"/>
      <c r="K43" s="39">
        <f t="shared" si="0"/>
        <v>0</v>
      </c>
      <c r="O43"/>
      <c r="P43" s="5"/>
      <c r="X43"/>
      <c r="Y43" s="41"/>
      <c r="Z43" s="12"/>
    </row>
    <row r="44" spans="2:26" x14ac:dyDescent="0.25">
      <c r="B44" t="s">
        <v>77</v>
      </c>
      <c r="C44" s="39">
        <v>1</v>
      </c>
      <c r="D44" s="39">
        <f>C44*C43</f>
        <v>0</v>
      </c>
      <c r="I44" s="76"/>
      <c r="K44" s="39">
        <f t="shared" si="0"/>
        <v>0</v>
      </c>
      <c r="O44"/>
      <c r="P44" s="5"/>
      <c r="X44"/>
      <c r="Y44" s="41"/>
      <c r="Z44" s="12"/>
    </row>
    <row r="45" spans="2:26" x14ac:dyDescent="0.25">
      <c r="B45" t="s">
        <v>83</v>
      </c>
      <c r="C45" s="39">
        <v>1</v>
      </c>
      <c r="D45" s="39">
        <f>C45*C43</f>
        <v>0</v>
      </c>
      <c r="I45" s="76"/>
      <c r="K45" s="39">
        <f t="shared" si="0"/>
        <v>0</v>
      </c>
      <c r="O45"/>
      <c r="P45" s="5"/>
      <c r="X45"/>
      <c r="Y45" s="41"/>
      <c r="Z45" s="12"/>
    </row>
    <row r="46" spans="2:26" x14ac:dyDescent="0.25">
      <c r="B46" t="s">
        <v>80</v>
      </c>
      <c r="C46" s="39">
        <v>1</v>
      </c>
      <c r="D46" s="39">
        <f>C46*C43</f>
        <v>0</v>
      </c>
      <c r="I46" s="76"/>
      <c r="K46" s="39">
        <f t="shared" si="0"/>
        <v>0</v>
      </c>
      <c r="O46"/>
      <c r="P46" s="5"/>
      <c r="X46"/>
      <c r="Y46" s="41"/>
      <c r="Z46" s="12"/>
    </row>
    <row r="47" spans="2:26" x14ac:dyDescent="0.25">
      <c r="I47" s="76"/>
      <c r="K47" s="39">
        <f t="shared" si="0"/>
        <v>0</v>
      </c>
      <c r="O47"/>
      <c r="P47" s="5"/>
      <c r="X47"/>
      <c r="Y47" s="41"/>
      <c r="Z47" s="12"/>
    </row>
    <row r="48" spans="2:26" x14ac:dyDescent="0.25">
      <c r="B48" t="s">
        <v>75</v>
      </c>
      <c r="C48" s="39">
        <v>0</v>
      </c>
      <c r="D48" s="39" t="s">
        <v>90</v>
      </c>
      <c r="I48" s="76"/>
      <c r="K48" s="39">
        <f t="shared" si="0"/>
        <v>0</v>
      </c>
      <c r="O48"/>
      <c r="P48" s="5"/>
      <c r="X48"/>
      <c r="Y48" s="41"/>
      <c r="Z48" s="12"/>
    </row>
    <row r="49" spans="2:26" x14ac:dyDescent="0.25">
      <c r="B49" t="s">
        <v>77</v>
      </c>
      <c r="C49" s="39">
        <v>2</v>
      </c>
      <c r="D49" s="39">
        <f>C49*C48</f>
        <v>0</v>
      </c>
      <c r="I49" s="76"/>
      <c r="K49" s="39">
        <f t="shared" si="0"/>
        <v>0</v>
      </c>
      <c r="O49"/>
      <c r="P49" s="5"/>
      <c r="X49"/>
      <c r="Y49" s="41"/>
      <c r="Z49" s="12"/>
    </row>
    <row r="50" spans="2:26" x14ac:dyDescent="0.25">
      <c r="B50" t="s">
        <v>80</v>
      </c>
      <c r="C50" s="39">
        <v>2</v>
      </c>
      <c r="D50" s="39">
        <f>C50*C48</f>
        <v>0</v>
      </c>
      <c r="I50" s="76"/>
      <c r="K50" s="39">
        <f t="shared" si="0"/>
        <v>0</v>
      </c>
      <c r="O50"/>
      <c r="P50" s="5"/>
      <c r="X50"/>
      <c r="Y50" s="41"/>
      <c r="Z50" s="12"/>
    </row>
    <row r="51" spans="2:26" x14ac:dyDescent="0.25">
      <c r="I51" s="76"/>
      <c r="K51" s="39">
        <f t="shared" si="0"/>
        <v>0</v>
      </c>
      <c r="O51"/>
      <c r="P51" s="5"/>
      <c r="X51"/>
      <c r="Y51" s="41"/>
      <c r="Z51" s="12"/>
    </row>
    <row r="52" spans="2:26" x14ac:dyDescent="0.25">
      <c r="B52" t="s">
        <v>76</v>
      </c>
      <c r="C52" s="39">
        <v>0</v>
      </c>
      <c r="D52" s="39" t="s">
        <v>85</v>
      </c>
      <c r="I52" s="76"/>
      <c r="K52" s="39">
        <f t="shared" si="0"/>
        <v>0</v>
      </c>
      <c r="O52"/>
      <c r="P52" s="5"/>
      <c r="X52"/>
      <c r="Y52" s="41"/>
      <c r="Z52" s="12"/>
    </row>
    <row r="53" spans="2:26" x14ac:dyDescent="0.25">
      <c r="B53" t="s">
        <v>77</v>
      </c>
      <c r="C53" s="39">
        <v>1</v>
      </c>
      <c r="D53" s="39">
        <f>C53*C52</f>
        <v>0</v>
      </c>
      <c r="K53" s="9">
        <f>SUM(K37:K52)</f>
        <v>0</v>
      </c>
      <c r="O53"/>
      <c r="P53" s="5"/>
      <c r="X53"/>
      <c r="Y53" s="41"/>
      <c r="Z53" s="12"/>
    </row>
    <row r="54" spans="2:26" x14ac:dyDescent="0.25">
      <c r="B54" t="s">
        <v>83</v>
      </c>
      <c r="C54" s="39">
        <v>1</v>
      </c>
      <c r="D54" s="39">
        <f>C54*C52</f>
        <v>0</v>
      </c>
      <c r="K54" s="39"/>
      <c r="O54"/>
      <c r="P54" s="5"/>
      <c r="X54"/>
      <c r="Y54" s="41"/>
      <c r="Z54" s="12"/>
    </row>
    <row r="55" spans="2:26" x14ac:dyDescent="0.25">
      <c r="B55" t="s">
        <v>80</v>
      </c>
      <c r="C55" s="39">
        <v>1</v>
      </c>
      <c r="D55" s="39">
        <f>C55*C52</f>
        <v>0</v>
      </c>
      <c r="K55" s="39"/>
      <c r="O55"/>
      <c r="P55" s="5"/>
      <c r="X55"/>
      <c r="Y55" s="41"/>
      <c r="Z55" s="12"/>
    </row>
    <row r="56" spans="2:26" x14ac:dyDescent="0.25">
      <c r="I56" s="76"/>
      <c r="J56" s="76"/>
      <c r="K56" s="76"/>
      <c r="O56"/>
      <c r="P56" s="5"/>
      <c r="X56"/>
      <c r="Y56" s="41"/>
      <c r="Z56" s="12"/>
    </row>
    <row r="57" spans="2:26" x14ac:dyDescent="0.25">
      <c r="I57" s="76" t="s">
        <v>39</v>
      </c>
      <c r="J57" s="79" t="s">
        <v>61</v>
      </c>
      <c r="K57" s="79"/>
      <c r="O57"/>
      <c r="P57" s="5"/>
      <c r="X57"/>
      <c r="Y57" s="41"/>
      <c r="Z57" s="12"/>
    </row>
    <row r="58" spans="2:26" x14ac:dyDescent="0.25">
      <c r="I58" s="76"/>
      <c r="J58" s="5"/>
      <c r="K58" s="5"/>
      <c r="L58" s="48"/>
      <c r="O58"/>
      <c r="P58" s="5"/>
      <c r="X58"/>
      <c r="Y58" s="41"/>
      <c r="Z58" s="12"/>
    </row>
    <row r="59" spans="2:26" x14ac:dyDescent="0.25">
      <c r="I59" s="76"/>
      <c r="J59" s="5"/>
      <c r="K59" s="5"/>
      <c r="L59" s="48"/>
      <c r="O59"/>
      <c r="P59" s="5"/>
      <c r="X59"/>
      <c r="Y59" s="41"/>
      <c r="Z59" s="12"/>
    </row>
    <row r="60" spans="2:26" x14ac:dyDescent="0.25">
      <c r="I60" s="76"/>
      <c r="K60" s="39"/>
      <c r="L60" s="48"/>
      <c r="O60"/>
      <c r="P60" s="5"/>
      <c r="X60"/>
      <c r="Y60" s="41"/>
      <c r="Z60" s="12"/>
    </row>
    <row r="61" spans="2:26" x14ac:dyDescent="0.25">
      <c r="I61" s="76"/>
      <c r="J61" s="5"/>
      <c r="K61" s="39"/>
      <c r="L61" s="48"/>
      <c r="M61" t="s">
        <v>57</v>
      </c>
      <c r="N61" s="39">
        <v>3.53</v>
      </c>
      <c r="O61" s="39"/>
      <c r="P61" s="39"/>
      <c r="X61"/>
      <c r="Y61" s="41"/>
      <c r="Z61" s="12"/>
    </row>
    <row r="62" spans="2:26" x14ac:dyDescent="0.25">
      <c r="I62" s="76"/>
      <c r="J62" s="5"/>
      <c r="K62" s="39"/>
      <c r="L62" s="48"/>
      <c r="M62" t="s">
        <v>64</v>
      </c>
      <c r="N62" s="39">
        <v>3.24</v>
      </c>
      <c r="O62" s="39"/>
      <c r="P62" s="39"/>
      <c r="X62"/>
      <c r="Y62" s="41"/>
      <c r="Z62" s="12"/>
    </row>
    <row r="63" spans="2:26" x14ac:dyDescent="0.25">
      <c r="I63" s="76"/>
      <c r="K63" s="39"/>
      <c r="L63" s="48"/>
      <c r="M63" t="s">
        <v>65</v>
      </c>
      <c r="N63" s="39">
        <v>3.24</v>
      </c>
      <c r="O63" s="39"/>
      <c r="P63" s="39"/>
      <c r="X63"/>
      <c r="Y63" s="41"/>
      <c r="Z63" s="12"/>
    </row>
    <row r="64" spans="2:26" x14ac:dyDescent="0.25">
      <c r="I64" s="76"/>
      <c r="K64" s="39"/>
      <c r="L64" s="48"/>
      <c r="M64" t="s">
        <v>66</v>
      </c>
      <c r="N64" s="39">
        <v>3.53</v>
      </c>
      <c r="O64" s="39"/>
      <c r="P64" s="39"/>
      <c r="X64"/>
      <c r="Y64" s="41"/>
      <c r="Z64" s="12"/>
    </row>
    <row r="65" spans="9:26" x14ac:dyDescent="0.25">
      <c r="I65" s="76"/>
      <c r="K65" s="39"/>
      <c r="N65" s="39"/>
      <c r="O65" s="39"/>
      <c r="P65" s="39"/>
      <c r="X65"/>
      <c r="Y65" s="41"/>
      <c r="Z65" s="12"/>
    </row>
    <row r="66" spans="9:26" x14ac:dyDescent="0.25">
      <c r="I66" s="76"/>
      <c r="K66" s="39"/>
      <c r="O66"/>
      <c r="P66" s="5"/>
      <c r="X66"/>
      <c r="Y66" s="41"/>
      <c r="Z66" s="12"/>
    </row>
    <row r="67" spans="9:26" x14ac:dyDescent="0.25">
      <c r="I67" s="76"/>
      <c r="K67" s="39"/>
      <c r="O67"/>
      <c r="P67" s="5"/>
      <c r="X67"/>
      <c r="Y67" s="41"/>
      <c r="Z67" s="12"/>
    </row>
    <row r="68" spans="9:26" x14ac:dyDescent="0.25">
      <c r="I68" s="76"/>
      <c r="K68" s="39"/>
      <c r="O68"/>
      <c r="P68" s="5"/>
      <c r="X68"/>
      <c r="Y68" s="41"/>
      <c r="Z68" s="12"/>
    </row>
    <row r="69" spans="9:26" x14ac:dyDescent="0.25">
      <c r="I69" s="76"/>
      <c r="K69" s="39"/>
      <c r="O69"/>
      <c r="P69" s="5"/>
      <c r="X69"/>
      <c r="Y69" s="41"/>
      <c r="Z69" s="12"/>
    </row>
    <row r="70" spans="9:26" x14ac:dyDescent="0.25">
      <c r="I70" s="76"/>
      <c r="K70" s="39"/>
      <c r="O70"/>
      <c r="P70" s="5"/>
      <c r="X70"/>
      <c r="Y70" s="41"/>
      <c r="Z70" s="12"/>
    </row>
    <row r="71" spans="9:26" x14ac:dyDescent="0.25">
      <c r="I71" s="76"/>
      <c r="K71" s="39"/>
      <c r="O71"/>
      <c r="P71" s="5"/>
      <c r="X71"/>
      <c r="Y71" s="41"/>
      <c r="Z71" s="12"/>
    </row>
    <row r="72" spans="9:26" x14ac:dyDescent="0.25">
      <c r="I72" s="76"/>
      <c r="K72" s="39"/>
      <c r="O72"/>
      <c r="P72" s="5"/>
      <c r="X72"/>
      <c r="Y72" s="41"/>
      <c r="Z72" s="12"/>
    </row>
    <row r="73" spans="9:26" x14ac:dyDescent="0.25">
      <c r="I73" s="76"/>
      <c r="K73" s="39"/>
      <c r="O73"/>
      <c r="P73" s="5"/>
      <c r="X73"/>
      <c r="Y73" s="41"/>
      <c r="Z73" s="12"/>
    </row>
  </sheetData>
  <mergeCells count="35">
    <mergeCell ref="I56:K56"/>
    <mergeCell ref="I57:I73"/>
    <mergeCell ref="J57:K57"/>
    <mergeCell ref="L5:L8"/>
    <mergeCell ref="M5:N5"/>
    <mergeCell ref="I29:I32"/>
    <mergeCell ref="J29:L29"/>
    <mergeCell ref="I24:I27"/>
    <mergeCell ref="J24:K24"/>
    <mergeCell ref="M24:M27"/>
    <mergeCell ref="N24:Q24"/>
    <mergeCell ref="I10:I13"/>
    <mergeCell ref="J10:K10"/>
    <mergeCell ref="M10:M13"/>
    <mergeCell ref="N10:O10"/>
    <mergeCell ref="Q10:Q13"/>
    <mergeCell ref="S35:U35"/>
    <mergeCell ref="W35:W38"/>
    <mergeCell ref="X35:Y35"/>
    <mergeCell ref="I36:I52"/>
    <mergeCell ref="J36:K36"/>
    <mergeCell ref="L37:L42"/>
    <mergeCell ref="I35:K35"/>
    <mergeCell ref="N35:N38"/>
    <mergeCell ref="O35:P35"/>
    <mergeCell ref="R35:R38"/>
    <mergeCell ref="R10:T10"/>
    <mergeCell ref="S24:S27"/>
    <mergeCell ref="T24:U24"/>
    <mergeCell ref="I17:I20"/>
    <mergeCell ref="J17:K17"/>
    <mergeCell ref="M17:M20"/>
    <mergeCell ref="N17:O17"/>
    <mergeCell ref="Q17:Q20"/>
    <mergeCell ref="R17:V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75"/>
  <sheetViews>
    <sheetView zoomScale="85" zoomScaleNormal="85" workbookViewId="0">
      <selection activeCell="Z12" sqref="Z12"/>
    </sheetView>
  </sheetViews>
  <sheetFormatPr defaultRowHeight="15" x14ac:dyDescent="0.25"/>
  <cols>
    <col min="3" max="3" width="9.140625" style="20"/>
    <col min="4" max="4" width="10.7109375" style="20" customWidth="1"/>
    <col min="5" max="10" width="9.140625" style="20"/>
    <col min="15" max="15" width="9.140625" style="5"/>
    <col min="24" max="24" width="9.140625" style="34"/>
    <col min="25" max="25" width="9.140625" style="23"/>
    <col min="26" max="26" width="9.140625" style="5"/>
  </cols>
  <sheetData>
    <row r="1" spans="2:28" x14ac:dyDescent="0.25">
      <c r="J1" s="20" t="s">
        <v>68</v>
      </c>
    </row>
    <row r="2" spans="2:28" x14ac:dyDescent="0.25">
      <c r="B2" t="s">
        <v>35</v>
      </c>
      <c r="C2" s="20">
        <v>1.1000000000000001</v>
      </c>
      <c r="D2" s="20">
        <v>1.1000000000000001</v>
      </c>
      <c r="E2" s="20">
        <v>1.1000000000000001</v>
      </c>
      <c r="F2" s="20">
        <v>1.1000000000000001</v>
      </c>
      <c r="G2" s="20">
        <v>1.89</v>
      </c>
      <c r="H2" s="20">
        <v>1.8</v>
      </c>
      <c r="I2" s="20">
        <v>2</v>
      </c>
      <c r="J2" s="20">
        <v>1.115</v>
      </c>
      <c r="K2" s="20">
        <v>1.0900000000000001</v>
      </c>
      <c r="L2" s="20">
        <v>2</v>
      </c>
      <c r="M2" s="20">
        <v>2</v>
      </c>
      <c r="N2" s="20">
        <v>1.1000000000000001</v>
      </c>
      <c r="O2" s="25">
        <f>SUM(C2:N2)+J2</f>
        <v>18.510000000000002</v>
      </c>
      <c r="Y2" s="23" t="s">
        <v>97</v>
      </c>
    </row>
    <row r="3" spans="2:28" x14ac:dyDescent="0.25">
      <c r="C3" s="20" t="s">
        <v>65</v>
      </c>
      <c r="D3" s="20" t="s">
        <v>65</v>
      </c>
      <c r="E3" s="20" t="s">
        <v>65</v>
      </c>
      <c r="F3" s="20" t="s">
        <v>65</v>
      </c>
      <c r="G3" s="20" t="s">
        <v>65</v>
      </c>
      <c r="H3" s="20" t="s">
        <v>65</v>
      </c>
      <c r="I3" s="20" t="s">
        <v>65</v>
      </c>
      <c r="J3" s="20" t="s">
        <v>66</v>
      </c>
      <c r="K3" s="20" t="s">
        <v>65</v>
      </c>
      <c r="L3" s="20" t="s">
        <v>65</v>
      </c>
      <c r="M3" s="20" t="s">
        <v>65</v>
      </c>
      <c r="N3" s="20" t="s">
        <v>65</v>
      </c>
      <c r="X3" s="47" t="s">
        <v>32</v>
      </c>
      <c r="Y3" s="23">
        <v>172</v>
      </c>
      <c r="Z3" s="5">
        <f>O38+R38</f>
        <v>171</v>
      </c>
    </row>
    <row r="4" spans="2:28" x14ac:dyDescent="0.25">
      <c r="C4" s="20" t="s">
        <v>65</v>
      </c>
      <c r="D4" s="20" t="s">
        <v>65</v>
      </c>
      <c r="E4" s="20" t="s">
        <v>65</v>
      </c>
      <c r="F4" s="20" t="s">
        <v>65</v>
      </c>
      <c r="H4" s="20" t="s">
        <v>65</v>
      </c>
      <c r="I4" s="20" t="s">
        <v>65</v>
      </c>
      <c r="J4" s="20" t="s">
        <v>66</v>
      </c>
      <c r="L4" s="20" t="s">
        <v>65</v>
      </c>
      <c r="M4" s="20" t="s">
        <v>65</v>
      </c>
      <c r="N4" s="20" t="s">
        <v>65</v>
      </c>
      <c r="X4" s="47" t="s">
        <v>31</v>
      </c>
      <c r="Y4" s="23">
        <v>172</v>
      </c>
      <c r="Z4" s="5">
        <f>N38+S38</f>
        <v>171</v>
      </c>
    </row>
    <row r="5" spans="2:28" x14ac:dyDescent="0.25">
      <c r="X5" s="47" t="s">
        <v>59</v>
      </c>
      <c r="Y5" s="23">
        <v>171.3</v>
      </c>
      <c r="Z5" s="5">
        <f>J53+X39</f>
        <v>165.30000000000004</v>
      </c>
    </row>
    <row r="6" spans="2:28" x14ac:dyDescent="0.25">
      <c r="B6" t="s">
        <v>34</v>
      </c>
      <c r="C6" s="20">
        <v>1.35</v>
      </c>
      <c r="D6" s="20">
        <v>1.75</v>
      </c>
      <c r="E6" s="20">
        <v>1.59</v>
      </c>
      <c r="F6" s="19">
        <f>SUM(C6:E6)</f>
        <v>4.6900000000000004</v>
      </c>
      <c r="X6" s="47" t="s">
        <v>60</v>
      </c>
      <c r="Y6" s="23">
        <v>93.34</v>
      </c>
      <c r="Z6" s="5">
        <f>I73</f>
        <v>94.200000000000031</v>
      </c>
    </row>
    <row r="7" spans="2:28" x14ac:dyDescent="0.25">
      <c r="C7" s="20" t="s">
        <v>64</v>
      </c>
      <c r="D7" s="20" t="s">
        <v>64</v>
      </c>
      <c r="E7" s="20" t="s">
        <v>57</v>
      </c>
    </row>
    <row r="8" spans="2:28" x14ac:dyDescent="0.25">
      <c r="E8" s="20" t="s">
        <v>64</v>
      </c>
    </row>
    <row r="9" spans="2:28" x14ac:dyDescent="0.25">
      <c r="Y9" s="23" t="s">
        <v>97</v>
      </c>
    </row>
    <row r="10" spans="2:28" x14ac:dyDescent="0.25">
      <c r="B10" t="s">
        <v>57</v>
      </c>
      <c r="C10" s="20">
        <v>9</v>
      </c>
      <c r="D10" s="20" t="s">
        <v>56</v>
      </c>
      <c r="E10" s="20">
        <v>3.53</v>
      </c>
      <c r="I10" s="76" t="s">
        <v>33</v>
      </c>
      <c r="J10" s="78">
        <v>20</v>
      </c>
      <c r="K10" s="78"/>
      <c r="L10" s="30"/>
      <c r="M10" s="76" t="s">
        <v>39</v>
      </c>
      <c r="N10" s="78">
        <f>16*4</f>
        <v>64</v>
      </c>
      <c r="O10" s="78"/>
      <c r="Q10" s="76" t="s">
        <v>29</v>
      </c>
      <c r="R10" s="78">
        <f>15*3</f>
        <v>45</v>
      </c>
      <c r="S10" s="78"/>
      <c r="T10" s="78"/>
      <c r="U10" t="s">
        <v>67</v>
      </c>
      <c r="X10" s="34">
        <v>1</v>
      </c>
      <c r="Y10" s="32">
        <v>22</v>
      </c>
      <c r="Z10" s="24">
        <f>D22+C10+C11</f>
        <v>22</v>
      </c>
      <c r="AA10" s="32">
        <f>U20+P27+D22</f>
        <v>22</v>
      </c>
    </row>
    <row r="11" spans="2:28" ht="18" customHeight="1" x14ac:dyDescent="0.25">
      <c r="B11" t="s">
        <v>64</v>
      </c>
      <c r="C11" s="20">
        <v>11</v>
      </c>
      <c r="D11" s="20" t="s">
        <v>56</v>
      </c>
      <c r="E11" s="20">
        <v>3.24</v>
      </c>
      <c r="F11" s="23"/>
      <c r="H11" s="23"/>
      <c r="I11" s="76"/>
      <c r="J11" s="9" t="s">
        <v>4</v>
      </c>
      <c r="K11" s="9" t="s">
        <v>5</v>
      </c>
      <c r="L11" s="9"/>
      <c r="M11" s="76"/>
      <c r="N11" s="9" t="s">
        <v>4</v>
      </c>
      <c r="O11" s="9" t="s">
        <v>49</v>
      </c>
      <c r="Q11" s="76"/>
      <c r="R11" s="9" t="s">
        <v>4</v>
      </c>
      <c r="S11" s="9" t="s">
        <v>30</v>
      </c>
      <c r="T11" s="9" t="s">
        <v>5</v>
      </c>
      <c r="X11" s="34">
        <v>2</v>
      </c>
      <c r="Y11" s="32">
        <v>24</v>
      </c>
      <c r="Z11" s="32">
        <f>C12+C13+2</f>
        <v>24</v>
      </c>
      <c r="AA11" s="32">
        <f>V20+L32</f>
        <v>24</v>
      </c>
      <c r="AB11" t="s">
        <v>91</v>
      </c>
    </row>
    <row r="12" spans="2:28" x14ac:dyDescent="0.25">
      <c r="B12" t="s">
        <v>65</v>
      </c>
      <c r="C12" s="20">
        <v>20</v>
      </c>
      <c r="D12" s="20" t="s">
        <v>53</v>
      </c>
      <c r="E12" s="20">
        <v>3.24</v>
      </c>
      <c r="F12" s="23"/>
      <c r="H12" s="23"/>
      <c r="I12" s="76"/>
      <c r="J12" s="5">
        <v>1</v>
      </c>
      <c r="K12" s="23">
        <v>1</v>
      </c>
      <c r="M12" s="76"/>
      <c r="N12" s="5">
        <v>2</v>
      </c>
      <c r="O12" s="23"/>
      <c r="Q12" s="76"/>
      <c r="R12" s="5">
        <v>1</v>
      </c>
      <c r="S12" s="5">
        <v>1</v>
      </c>
      <c r="T12" s="5">
        <v>1</v>
      </c>
      <c r="X12" s="34" t="s">
        <v>4</v>
      </c>
      <c r="Y12" s="45">
        <v>188</v>
      </c>
      <c r="Z12" s="45">
        <f>J13+N13+R13+J20</f>
        <v>192</v>
      </c>
    </row>
    <row r="13" spans="2:28" x14ac:dyDescent="0.25">
      <c r="B13" t="s">
        <v>66</v>
      </c>
      <c r="C13" s="20">
        <v>2</v>
      </c>
      <c r="D13" s="20" t="s">
        <v>53</v>
      </c>
      <c r="E13" s="20">
        <v>3.53</v>
      </c>
      <c r="F13" s="23"/>
      <c r="H13" s="23"/>
      <c r="I13" s="76"/>
      <c r="J13" s="18">
        <f>J12*J10</f>
        <v>20</v>
      </c>
      <c r="K13" s="9">
        <f>K12*J10</f>
        <v>20</v>
      </c>
      <c r="M13" s="76"/>
      <c r="N13" s="18">
        <f>(N10*N12)-4-4+D21+D37</f>
        <v>126</v>
      </c>
      <c r="O13" s="23"/>
      <c r="Q13" s="76"/>
      <c r="R13" s="18">
        <f>R12*R10</f>
        <v>45</v>
      </c>
      <c r="S13" s="18">
        <f>S12*R10</f>
        <v>45</v>
      </c>
      <c r="T13" s="18">
        <f>T12*R10</f>
        <v>45</v>
      </c>
      <c r="X13" s="34" t="s">
        <v>41</v>
      </c>
      <c r="Y13" s="32">
        <v>20</v>
      </c>
      <c r="Z13" s="32">
        <f>R20+N27</f>
        <v>20</v>
      </c>
    </row>
    <row r="14" spans="2:28" x14ac:dyDescent="0.25">
      <c r="N14" t="s">
        <v>93</v>
      </c>
      <c r="X14" s="34" t="s">
        <v>58</v>
      </c>
      <c r="Y14" s="32">
        <v>22</v>
      </c>
      <c r="Z14" s="32">
        <f>S20+O27</f>
        <v>22</v>
      </c>
    </row>
    <row r="15" spans="2:28" x14ac:dyDescent="0.25">
      <c r="B15" t="s">
        <v>63</v>
      </c>
      <c r="C15" s="20" t="s">
        <v>69</v>
      </c>
      <c r="D15" s="20" t="s">
        <v>71</v>
      </c>
      <c r="E15" s="22">
        <f>C10+C11+D22</f>
        <v>22</v>
      </c>
      <c r="X15" s="34" t="s">
        <v>30</v>
      </c>
      <c r="Y15" s="32">
        <v>45</v>
      </c>
      <c r="Z15" s="32">
        <f>S13</f>
        <v>45</v>
      </c>
    </row>
    <row r="16" spans="2:28" x14ac:dyDescent="0.25">
      <c r="B16" t="s">
        <v>63</v>
      </c>
      <c r="C16" s="20" t="s">
        <v>70</v>
      </c>
      <c r="D16" s="20" t="s">
        <v>72</v>
      </c>
      <c r="E16" s="20">
        <f>C12+C13</f>
        <v>22</v>
      </c>
      <c r="X16" s="34" t="s">
        <v>37</v>
      </c>
      <c r="Y16" s="32">
        <v>39</v>
      </c>
      <c r="Z16" s="32">
        <f>N20+T27</f>
        <v>39</v>
      </c>
      <c r="AA16">
        <f>(C10+C11+C12+C13)</f>
        <v>42</v>
      </c>
      <c r="AB16">
        <f>Z16+Z17</f>
        <v>42</v>
      </c>
    </row>
    <row r="17" spans="2:30" x14ac:dyDescent="0.25">
      <c r="I17" s="76" t="s">
        <v>84</v>
      </c>
      <c r="J17" s="78">
        <v>1</v>
      </c>
      <c r="K17" s="78"/>
      <c r="L17" s="30"/>
      <c r="M17" s="76" t="s">
        <v>36</v>
      </c>
      <c r="N17" s="78">
        <v>14</v>
      </c>
      <c r="O17" s="78"/>
      <c r="Q17" s="76" t="s">
        <v>40</v>
      </c>
      <c r="R17" s="78">
        <v>14</v>
      </c>
      <c r="S17" s="78"/>
      <c r="T17" s="78"/>
      <c r="U17" s="78"/>
      <c r="V17" s="78"/>
      <c r="X17" s="34" t="s">
        <v>48</v>
      </c>
      <c r="Y17" s="32">
        <v>3</v>
      </c>
      <c r="Z17" s="32">
        <f>J27</f>
        <v>3</v>
      </c>
    </row>
    <row r="18" spans="2:30" ht="27" x14ac:dyDescent="0.25">
      <c r="B18" t="s">
        <v>62</v>
      </c>
      <c r="C18" s="20">
        <v>2</v>
      </c>
      <c r="D18" s="20" t="s">
        <v>87</v>
      </c>
      <c r="I18" s="76"/>
      <c r="J18" s="9" t="s">
        <v>4</v>
      </c>
      <c r="K18" s="9" t="s">
        <v>49</v>
      </c>
      <c r="L18" s="9"/>
      <c r="M18" s="76"/>
      <c r="N18" s="9" t="s">
        <v>37</v>
      </c>
      <c r="O18" s="9" t="s">
        <v>38</v>
      </c>
      <c r="Q18" s="76"/>
      <c r="R18" s="16" t="s">
        <v>43</v>
      </c>
      <c r="S18" s="16" t="s">
        <v>42</v>
      </c>
      <c r="T18" s="9" t="s">
        <v>5</v>
      </c>
      <c r="U18" s="16" t="s">
        <v>44</v>
      </c>
      <c r="V18" s="16" t="s">
        <v>45</v>
      </c>
      <c r="X18" s="35" t="s">
        <v>89</v>
      </c>
      <c r="Y18" s="32">
        <v>4</v>
      </c>
      <c r="Z18" s="32">
        <f>J32</f>
        <v>4</v>
      </c>
      <c r="AA18" s="5" t="s">
        <v>9</v>
      </c>
      <c r="AB18" s="5" t="s">
        <v>102</v>
      </c>
      <c r="AC18" t="s">
        <v>103</v>
      </c>
    </row>
    <row r="19" spans="2:30" x14ac:dyDescent="0.25">
      <c r="B19" t="s">
        <v>77</v>
      </c>
      <c r="C19" s="20">
        <v>1</v>
      </c>
      <c r="D19" s="20">
        <f>C19*C18</f>
        <v>2</v>
      </c>
      <c r="E19" s="20" t="s">
        <v>67</v>
      </c>
      <c r="I19" s="76"/>
      <c r="J19" s="5">
        <v>1</v>
      </c>
      <c r="K19" s="5"/>
      <c r="L19" s="5"/>
      <c r="M19" s="76"/>
      <c r="N19" s="5">
        <f>1</f>
        <v>1</v>
      </c>
      <c r="O19" s="5">
        <v>4</v>
      </c>
      <c r="Q19" s="76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34" t="s">
        <v>5</v>
      </c>
      <c r="Y19" s="32">
        <v>108</v>
      </c>
      <c r="Z19" s="32">
        <f>K13+T13+K20+T20+K32</f>
        <v>108</v>
      </c>
      <c r="AA19" s="5">
        <v>20</v>
      </c>
      <c r="AB19" s="5">
        <f>65-AA19</f>
        <v>45</v>
      </c>
      <c r="AC19">
        <f>108-AA19-AB19</f>
        <v>43</v>
      </c>
      <c r="AD19">
        <f>AA19+AB19+AC19</f>
        <v>108</v>
      </c>
    </row>
    <row r="20" spans="2:30" x14ac:dyDescent="0.25">
      <c r="B20" t="s">
        <v>78</v>
      </c>
      <c r="C20" s="20">
        <v>1</v>
      </c>
      <c r="D20" s="20">
        <f>C20*C18</f>
        <v>2</v>
      </c>
      <c r="E20" s="20" t="s">
        <v>67</v>
      </c>
      <c r="I20" s="76"/>
      <c r="J20" s="18">
        <f>J19*J17</f>
        <v>1</v>
      </c>
      <c r="K20" s="18"/>
      <c r="L20" s="18"/>
      <c r="M20" s="76"/>
      <c r="N20" s="18">
        <f>N19*N17+(X25*X22)+(X27*X31)+(D26*N19)+D30*N19+D41*N19+D46*N19+D50*N19+D55*N19</f>
        <v>36</v>
      </c>
      <c r="O20" s="18">
        <f>N20*O19</f>
        <v>144</v>
      </c>
      <c r="Q20" s="76"/>
      <c r="R20" s="9">
        <f>R19*R17+D19*R19+D33*R19</f>
        <v>17</v>
      </c>
      <c r="S20" s="9">
        <f>S19*D25+D29*S19+D40*S19+D44*S19+D50*S19+D53*S19</f>
        <v>22</v>
      </c>
      <c r="T20" s="9">
        <f>(R20+S20)*T19</f>
        <v>39</v>
      </c>
      <c r="U20" s="9">
        <f>R20*U19</f>
        <v>17</v>
      </c>
      <c r="V20" s="9">
        <f>S20*V19</f>
        <v>22</v>
      </c>
      <c r="X20" s="34" t="s">
        <v>38</v>
      </c>
      <c r="Y20" s="32">
        <v>156</v>
      </c>
      <c r="Z20" s="32">
        <f>O20+U27</f>
        <v>156</v>
      </c>
    </row>
    <row r="21" spans="2:30" x14ac:dyDescent="0.25">
      <c r="B21" t="s">
        <v>79</v>
      </c>
      <c r="C21" s="20">
        <v>1</v>
      </c>
      <c r="D21" s="20">
        <f>C21*C18</f>
        <v>2</v>
      </c>
      <c r="E21" s="20" t="s">
        <v>67</v>
      </c>
      <c r="F21" s="20" t="s">
        <v>92</v>
      </c>
    </row>
    <row r="22" spans="2:30" x14ac:dyDescent="0.25">
      <c r="B22" t="s">
        <v>69</v>
      </c>
      <c r="C22" s="20">
        <v>1</v>
      </c>
      <c r="D22" s="22">
        <f>C22*C18</f>
        <v>2</v>
      </c>
      <c r="X22" s="47"/>
    </row>
    <row r="23" spans="2:30" x14ac:dyDescent="0.25">
      <c r="X23" s="47"/>
    </row>
    <row r="24" spans="2:30" x14ac:dyDescent="0.25">
      <c r="B24" t="s">
        <v>52</v>
      </c>
      <c r="C24" s="20">
        <v>3</v>
      </c>
      <c r="D24" s="20" t="s">
        <v>85</v>
      </c>
      <c r="I24" s="76" t="s">
        <v>47</v>
      </c>
      <c r="J24" s="78">
        <v>2</v>
      </c>
      <c r="K24" s="78"/>
      <c r="M24" s="76" t="s">
        <v>50</v>
      </c>
      <c r="N24" s="78">
        <v>2</v>
      </c>
      <c r="O24" s="78"/>
      <c r="P24" s="78"/>
      <c r="Q24" s="78"/>
      <c r="R24" s="31"/>
      <c r="S24" s="76" t="s">
        <v>55</v>
      </c>
      <c r="T24" s="78"/>
      <c r="U24" s="78"/>
      <c r="X24" s="47"/>
    </row>
    <row r="25" spans="2:30" ht="27" x14ac:dyDescent="0.25">
      <c r="B25" s="21" t="s">
        <v>77</v>
      </c>
      <c r="C25" s="20">
        <v>2</v>
      </c>
      <c r="D25" s="20">
        <f>C25*C24</f>
        <v>6</v>
      </c>
      <c r="E25" s="20" t="s">
        <v>67</v>
      </c>
      <c r="I25" s="76"/>
      <c r="J25" s="9" t="s">
        <v>48</v>
      </c>
      <c r="K25" s="9" t="s">
        <v>49</v>
      </c>
      <c r="M25" s="76"/>
      <c r="N25" s="16" t="s">
        <v>43</v>
      </c>
      <c r="O25" s="16" t="s">
        <v>42</v>
      </c>
      <c r="P25" s="16" t="s">
        <v>44</v>
      </c>
      <c r="Q25" s="16" t="s">
        <v>45</v>
      </c>
      <c r="R25" s="16"/>
      <c r="S25" s="76"/>
      <c r="T25" s="9" t="s">
        <v>37</v>
      </c>
      <c r="U25" s="9" t="s">
        <v>38</v>
      </c>
      <c r="X25" s="47"/>
    </row>
    <row r="26" spans="2:30" x14ac:dyDescent="0.25">
      <c r="B26" s="21" t="s">
        <v>80</v>
      </c>
      <c r="C26" s="20">
        <v>2</v>
      </c>
      <c r="D26" s="20">
        <f>C26*C24</f>
        <v>6</v>
      </c>
      <c r="E26" s="20" t="s">
        <v>67</v>
      </c>
      <c r="I26" s="76"/>
      <c r="J26" s="5">
        <v>1</v>
      </c>
      <c r="M26" s="76"/>
      <c r="N26" s="5">
        <v>1</v>
      </c>
      <c r="O26" s="5" t="s">
        <v>27</v>
      </c>
      <c r="P26" s="5">
        <f>N26</f>
        <v>1</v>
      </c>
      <c r="Q26" s="5" t="s">
        <v>27</v>
      </c>
      <c r="R26" s="5"/>
      <c r="S26" s="76"/>
      <c r="T26" s="5">
        <v>1</v>
      </c>
      <c r="U26" s="5">
        <f>T26*4</f>
        <v>4</v>
      </c>
    </row>
    <row r="27" spans="2:30" x14ac:dyDescent="0.25">
      <c r="I27" s="76"/>
      <c r="J27" s="18">
        <f>J26*J24+D36*J26</f>
        <v>3</v>
      </c>
      <c r="M27" s="76"/>
      <c r="N27" s="9">
        <f>N26*N24+D34*N26</f>
        <v>3</v>
      </c>
      <c r="O27" s="9"/>
      <c r="P27" s="9">
        <f>N27*P26</f>
        <v>3</v>
      </c>
      <c r="S27" s="76"/>
      <c r="T27" s="18">
        <f>D20*T26+D35*T26</f>
        <v>3</v>
      </c>
      <c r="U27" s="18">
        <f>T27*U26</f>
        <v>12</v>
      </c>
    </row>
    <row r="28" spans="2:30" x14ac:dyDescent="0.25">
      <c r="B28" t="s">
        <v>51</v>
      </c>
      <c r="C28" s="20">
        <v>3</v>
      </c>
      <c r="D28" s="20" t="s">
        <v>85</v>
      </c>
    </row>
    <row r="29" spans="2:30" x14ac:dyDescent="0.25">
      <c r="B29" t="s">
        <v>77</v>
      </c>
      <c r="C29" s="20">
        <v>2</v>
      </c>
      <c r="D29" s="20">
        <f>C29*C28</f>
        <v>6</v>
      </c>
      <c r="E29" s="20" t="s">
        <v>67</v>
      </c>
      <c r="I29" s="76" t="s">
        <v>88</v>
      </c>
      <c r="J29" s="81"/>
      <c r="K29" s="81"/>
      <c r="L29" s="81"/>
    </row>
    <row r="30" spans="2:30" x14ac:dyDescent="0.25">
      <c r="B30" t="s">
        <v>80</v>
      </c>
      <c r="C30" s="20">
        <v>2</v>
      </c>
      <c r="D30" s="20">
        <f>C30*C28</f>
        <v>6</v>
      </c>
      <c r="E30" s="20" t="s">
        <v>67</v>
      </c>
      <c r="I30" s="76"/>
      <c r="J30" s="18" t="s">
        <v>89</v>
      </c>
      <c r="K30" s="18" t="s">
        <v>5</v>
      </c>
      <c r="L30" s="18">
        <v>2</v>
      </c>
    </row>
    <row r="31" spans="2:30" x14ac:dyDescent="0.25">
      <c r="I31" s="76"/>
      <c r="J31" s="5">
        <v>2</v>
      </c>
      <c r="K31" s="5">
        <v>2</v>
      </c>
      <c r="L31" s="5">
        <v>1</v>
      </c>
    </row>
    <row r="32" spans="2:30" x14ac:dyDescent="0.25">
      <c r="B32" t="s">
        <v>54</v>
      </c>
      <c r="C32" s="20">
        <v>1</v>
      </c>
      <c r="D32" s="33" t="s">
        <v>86</v>
      </c>
      <c r="I32" s="76"/>
      <c r="J32" s="9">
        <f>J31*D45+D54*J31</f>
        <v>4</v>
      </c>
      <c r="K32" s="9">
        <f>D45*K31+D54*K31</f>
        <v>4</v>
      </c>
      <c r="L32" s="9">
        <f>D45*L31+D54*L31</f>
        <v>2</v>
      </c>
    </row>
    <row r="33" spans="2:24" x14ac:dyDescent="0.25">
      <c r="B33" t="s">
        <v>77</v>
      </c>
      <c r="C33" s="20">
        <v>1</v>
      </c>
      <c r="D33" s="20">
        <f>C33*C32</f>
        <v>1</v>
      </c>
      <c r="E33" s="20" t="s">
        <v>67</v>
      </c>
    </row>
    <row r="34" spans="2:24" x14ac:dyDescent="0.25">
      <c r="B34" t="s">
        <v>81</v>
      </c>
      <c r="C34" s="20">
        <v>1</v>
      </c>
      <c r="D34" s="20">
        <f>C34*C32</f>
        <v>1</v>
      </c>
      <c r="E34" s="20" t="s">
        <v>67</v>
      </c>
    </row>
    <row r="35" spans="2:24" x14ac:dyDescent="0.25">
      <c r="B35" t="s">
        <v>78</v>
      </c>
      <c r="C35" s="20">
        <v>1</v>
      </c>
      <c r="D35" s="20">
        <f>C35*C32</f>
        <v>1</v>
      </c>
      <c r="E35" s="20" t="s">
        <v>67</v>
      </c>
      <c r="H35" s="76">
        <v>20</v>
      </c>
      <c r="I35" s="76"/>
      <c r="J35" s="76"/>
      <c r="M35" s="76" t="s">
        <v>39</v>
      </c>
      <c r="N35" s="78">
        <f>16*4</f>
        <v>64</v>
      </c>
      <c r="O35" s="78"/>
      <c r="Q35" s="76" t="s">
        <v>29</v>
      </c>
      <c r="R35" s="78">
        <f>15*3</f>
        <v>45</v>
      </c>
      <c r="S35" s="78"/>
      <c r="T35" s="78"/>
      <c r="V35" s="76" t="s">
        <v>84</v>
      </c>
      <c r="W35" s="78">
        <v>1</v>
      </c>
      <c r="X35" s="78"/>
    </row>
    <row r="36" spans="2:24" x14ac:dyDescent="0.25">
      <c r="B36" t="s">
        <v>82</v>
      </c>
      <c r="C36" s="20">
        <v>1</v>
      </c>
      <c r="D36" s="20">
        <f>C36*C32</f>
        <v>1</v>
      </c>
      <c r="E36" s="20" t="s">
        <v>67</v>
      </c>
      <c r="H36" s="76" t="s">
        <v>33</v>
      </c>
      <c r="I36" s="79" t="s">
        <v>99</v>
      </c>
      <c r="J36" s="79"/>
      <c r="M36" s="76"/>
      <c r="N36" s="9" t="s">
        <v>31</v>
      </c>
      <c r="O36" s="9" t="s">
        <v>32</v>
      </c>
      <c r="Q36" s="76"/>
      <c r="R36" s="9" t="s">
        <v>32</v>
      </c>
      <c r="S36" s="9" t="s">
        <v>31</v>
      </c>
      <c r="T36" s="9"/>
      <c r="V36" s="76"/>
      <c r="W36" s="9" t="s">
        <v>59</v>
      </c>
      <c r="X36" s="9"/>
    </row>
    <row r="37" spans="2:24" ht="15" customHeight="1" x14ac:dyDescent="0.25">
      <c r="B37" t="s">
        <v>79</v>
      </c>
      <c r="C37" s="20">
        <v>4</v>
      </c>
      <c r="D37" s="20">
        <f>C37*C32</f>
        <v>4</v>
      </c>
      <c r="E37" s="20" t="s">
        <v>67</v>
      </c>
      <c r="F37" s="20" t="s">
        <v>92</v>
      </c>
      <c r="H37" s="76"/>
      <c r="I37" s="5">
        <v>1.28</v>
      </c>
      <c r="J37" s="5">
        <f t="shared" ref="J37:J52" si="0">I37*3</f>
        <v>3.84</v>
      </c>
      <c r="K37" s="80" t="s">
        <v>100</v>
      </c>
      <c r="L37" t="s">
        <v>67</v>
      </c>
      <c r="M37" s="76"/>
      <c r="N37" s="5">
        <v>2</v>
      </c>
      <c r="O37" s="39">
        <v>2</v>
      </c>
      <c r="Q37" s="76"/>
      <c r="R37" s="5">
        <v>1</v>
      </c>
      <c r="S37" s="5">
        <v>1</v>
      </c>
      <c r="T37" s="5"/>
      <c r="V37" s="76"/>
      <c r="W37" s="5">
        <v>0.48</v>
      </c>
      <c r="X37" s="5">
        <f>W37*3</f>
        <v>1.44</v>
      </c>
    </row>
    <row r="38" spans="2:24" x14ac:dyDescent="0.25">
      <c r="H38" s="76"/>
      <c r="I38" s="5">
        <v>1.28</v>
      </c>
      <c r="J38" s="5">
        <f t="shared" si="0"/>
        <v>3.84</v>
      </c>
      <c r="K38" s="80"/>
      <c r="L38" t="s">
        <v>67</v>
      </c>
      <c r="M38" s="76"/>
      <c r="N38" s="18">
        <f>(N12*N10)-4-4+D37+D21</f>
        <v>126</v>
      </c>
      <c r="O38" s="9">
        <f>N38</f>
        <v>126</v>
      </c>
      <c r="Q38" s="76"/>
      <c r="R38" s="18">
        <f>R37*R35</f>
        <v>45</v>
      </c>
      <c r="S38" s="18">
        <f>S37*R35</f>
        <v>45</v>
      </c>
      <c r="T38" s="18"/>
      <c r="V38" s="76"/>
      <c r="W38" s="49">
        <v>2.74</v>
      </c>
      <c r="X38" s="49">
        <f>W38*3</f>
        <v>8.2200000000000006</v>
      </c>
    </row>
    <row r="39" spans="2:24" x14ac:dyDescent="0.25">
      <c r="B39" t="s">
        <v>73</v>
      </c>
      <c r="C39" s="20">
        <v>3</v>
      </c>
      <c r="D39" s="20" t="s">
        <v>85</v>
      </c>
      <c r="H39" s="76"/>
      <c r="I39" s="39">
        <v>4.34</v>
      </c>
      <c r="J39" s="39">
        <f t="shared" si="0"/>
        <v>13.02</v>
      </c>
      <c r="K39" s="80"/>
      <c r="L39" t="s">
        <v>67</v>
      </c>
      <c r="X39" s="9">
        <f>SUM(X37:X38)</f>
        <v>9.66</v>
      </c>
    </row>
    <row r="40" spans="2:24" x14ac:dyDescent="0.25">
      <c r="B40" t="s">
        <v>77</v>
      </c>
      <c r="C40" s="20">
        <v>2</v>
      </c>
      <c r="D40" s="20">
        <f>C40*C39</f>
        <v>6</v>
      </c>
      <c r="E40" s="20" t="s">
        <v>67</v>
      </c>
      <c r="H40" s="76"/>
      <c r="I40" s="5">
        <v>5.6</v>
      </c>
      <c r="J40" s="39">
        <f t="shared" si="0"/>
        <v>16.799999999999997</v>
      </c>
      <c r="K40" s="80"/>
      <c r="L40" t="s">
        <v>67</v>
      </c>
    </row>
    <row r="41" spans="2:24" x14ac:dyDescent="0.25">
      <c r="B41" t="s">
        <v>80</v>
      </c>
      <c r="C41" s="20">
        <v>2</v>
      </c>
      <c r="D41" s="20">
        <f>C41*C39</f>
        <v>6</v>
      </c>
      <c r="E41" s="20" t="s">
        <v>67</v>
      </c>
      <c r="H41" s="76"/>
      <c r="I41" s="39">
        <v>5.6</v>
      </c>
      <c r="J41" s="39">
        <f t="shared" si="0"/>
        <v>16.799999999999997</v>
      </c>
      <c r="K41" s="80"/>
      <c r="L41" t="s">
        <v>67</v>
      </c>
    </row>
    <row r="42" spans="2:24" x14ac:dyDescent="0.25">
      <c r="H42" s="76"/>
      <c r="I42" s="39">
        <v>1.41</v>
      </c>
      <c r="J42" s="39">
        <f t="shared" si="0"/>
        <v>4.2299999999999995</v>
      </c>
      <c r="K42" s="80"/>
      <c r="L42" t="s">
        <v>67</v>
      </c>
    </row>
    <row r="43" spans="2:24" x14ac:dyDescent="0.25">
      <c r="B43" t="s">
        <v>74</v>
      </c>
      <c r="C43" s="20">
        <v>1</v>
      </c>
      <c r="D43" s="20" t="s">
        <v>85</v>
      </c>
      <c r="H43" s="76"/>
      <c r="I43" s="39">
        <v>1.41</v>
      </c>
      <c r="J43" s="39">
        <f t="shared" si="0"/>
        <v>4.2299999999999995</v>
      </c>
      <c r="L43" t="s">
        <v>67</v>
      </c>
    </row>
    <row r="44" spans="2:24" x14ac:dyDescent="0.25">
      <c r="B44" t="s">
        <v>77</v>
      </c>
      <c r="C44" s="20">
        <v>1</v>
      </c>
      <c r="D44" s="20">
        <f>C44*C43</f>
        <v>1</v>
      </c>
      <c r="E44" s="20" t="s">
        <v>67</v>
      </c>
      <c r="H44" s="76"/>
      <c r="I44" s="39">
        <v>3.64</v>
      </c>
      <c r="J44" s="39">
        <f t="shared" si="0"/>
        <v>10.92</v>
      </c>
      <c r="L44" t="s">
        <v>67</v>
      </c>
    </row>
    <row r="45" spans="2:24" x14ac:dyDescent="0.25">
      <c r="B45" t="s">
        <v>83</v>
      </c>
      <c r="C45" s="20">
        <v>1</v>
      </c>
      <c r="D45" s="20">
        <f>C45*C43</f>
        <v>1</v>
      </c>
      <c r="E45" s="20" t="s">
        <v>67</v>
      </c>
      <c r="H45" s="76"/>
      <c r="I45" s="39">
        <v>3.4</v>
      </c>
      <c r="J45" s="39">
        <f t="shared" si="0"/>
        <v>10.199999999999999</v>
      </c>
      <c r="L45" t="s">
        <v>67</v>
      </c>
    </row>
    <row r="46" spans="2:24" x14ac:dyDescent="0.25">
      <c r="B46" t="s">
        <v>80</v>
      </c>
      <c r="C46" s="20">
        <v>1</v>
      </c>
      <c r="D46" s="20">
        <f>C46*C43</f>
        <v>1</v>
      </c>
      <c r="E46" s="20" t="s">
        <v>67</v>
      </c>
      <c r="H46" s="76"/>
      <c r="I46" s="39">
        <v>1.41</v>
      </c>
      <c r="J46" s="39">
        <f t="shared" si="0"/>
        <v>4.2299999999999995</v>
      </c>
      <c r="L46" t="s">
        <v>67</v>
      </c>
    </row>
    <row r="47" spans="2:24" x14ac:dyDescent="0.25">
      <c r="H47" s="76"/>
      <c r="I47" s="39">
        <v>1.41</v>
      </c>
      <c r="J47" s="39">
        <f t="shared" si="0"/>
        <v>4.2299999999999995</v>
      </c>
      <c r="L47" t="s">
        <v>67</v>
      </c>
    </row>
    <row r="48" spans="2:24" x14ac:dyDescent="0.25">
      <c r="B48" t="s">
        <v>75</v>
      </c>
      <c r="C48" s="20">
        <v>1</v>
      </c>
      <c r="D48" s="20" t="s">
        <v>90</v>
      </c>
      <c r="H48" s="76"/>
      <c r="I48" s="39">
        <v>3.64</v>
      </c>
      <c r="J48" s="39">
        <f t="shared" si="0"/>
        <v>10.92</v>
      </c>
      <c r="L48" t="s">
        <v>67</v>
      </c>
    </row>
    <row r="49" spans="2:25" x14ac:dyDescent="0.25">
      <c r="B49" t="s">
        <v>77</v>
      </c>
      <c r="C49" s="20">
        <v>2</v>
      </c>
      <c r="D49" s="20">
        <f>C49*C48</f>
        <v>2</v>
      </c>
      <c r="E49" s="20" t="s">
        <v>67</v>
      </c>
      <c r="H49" s="76"/>
      <c r="I49" s="39">
        <v>2.7</v>
      </c>
      <c r="J49" s="39">
        <f t="shared" si="0"/>
        <v>8.1000000000000014</v>
      </c>
      <c r="L49" t="s">
        <v>67</v>
      </c>
    </row>
    <row r="50" spans="2:25" x14ac:dyDescent="0.25">
      <c r="B50" t="s">
        <v>80</v>
      </c>
      <c r="C50" s="20">
        <v>2</v>
      </c>
      <c r="D50" s="20">
        <f>C50*C48</f>
        <v>2</v>
      </c>
      <c r="E50" s="20" t="s">
        <v>67</v>
      </c>
      <c r="H50" s="76"/>
      <c r="I50" s="39">
        <v>3.56</v>
      </c>
      <c r="J50" s="39">
        <f t="shared" si="0"/>
        <v>10.68</v>
      </c>
      <c r="L50" t="s">
        <v>67</v>
      </c>
    </row>
    <row r="51" spans="2:25" x14ac:dyDescent="0.25">
      <c r="H51" s="76"/>
      <c r="I51" s="39">
        <v>7.1</v>
      </c>
      <c r="J51" s="39">
        <f t="shared" si="0"/>
        <v>21.299999999999997</v>
      </c>
      <c r="L51" t="s">
        <v>67</v>
      </c>
    </row>
    <row r="52" spans="2:25" x14ac:dyDescent="0.25">
      <c r="B52" t="s">
        <v>76</v>
      </c>
      <c r="C52" s="20">
        <v>1</v>
      </c>
      <c r="D52" s="20" t="s">
        <v>85</v>
      </c>
      <c r="I52" s="39">
        <v>4.0999999999999996</v>
      </c>
      <c r="J52" s="39">
        <f t="shared" si="0"/>
        <v>12.299999999999999</v>
      </c>
      <c r="L52" t="s">
        <v>67</v>
      </c>
    </row>
    <row r="53" spans="2:25" x14ac:dyDescent="0.25">
      <c r="B53" t="s">
        <v>77</v>
      </c>
      <c r="C53" s="20">
        <v>1</v>
      </c>
      <c r="D53" s="20">
        <f>C53*C52</f>
        <v>1</v>
      </c>
      <c r="I53" s="39"/>
      <c r="J53" s="9">
        <f>SUM(J37:J52)</f>
        <v>155.64000000000004</v>
      </c>
    </row>
    <row r="54" spans="2:25" x14ac:dyDescent="0.25">
      <c r="B54" t="s">
        <v>83</v>
      </c>
      <c r="C54" s="20">
        <v>1</v>
      </c>
      <c r="D54" s="20">
        <f>C54*C52</f>
        <v>1</v>
      </c>
    </row>
    <row r="55" spans="2:25" x14ac:dyDescent="0.25">
      <c r="B55" t="s">
        <v>80</v>
      </c>
      <c r="C55" s="20">
        <v>1</v>
      </c>
      <c r="D55" s="20">
        <f>C55*C52</f>
        <v>1</v>
      </c>
    </row>
    <row r="56" spans="2:25" x14ac:dyDescent="0.25">
      <c r="H56" s="76"/>
      <c r="I56" s="76"/>
      <c r="J56" s="76"/>
    </row>
    <row r="57" spans="2:25" x14ac:dyDescent="0.25">
      <c r="H57" s="76" t="s">
        <v>39</v>
      </c>
      <c r="I57" s="79" t="s">
        <v>61</v>
      </c>
      <c r="J57" s="79"/>
    </row>
    <row r="58" spans="2:25" x14ac:dyDescent="0.25">
      <c r="H58" s="76"/>
      <c r="I58" s="5">
        <f>3.53*2</f>
        <v>7.06</v>
      </c>
      <c r="J58" s="5" t="s">
        <v>67</v>
      </c>
      <c r="K58" s="48"/>
    </row>
    <row r="59" spans="2:25" x14ac:dyDescent="0.25">
      <c r="H59" s="76"/>
      <c r="I59" s="5">
        <f>3.53*2</f>
        <v>7.06</v>
      </c>
      <c r="J59" s="5" t="s">
        <v>67</v>
      </c>
      <c r="K59" s="48"/>
    </row>
    <row r="60" spans="2:25" x14ac:dyDescent="0.25">
      <c r="H60" s="76"/>
      <c r="I60" s="39">
        <f>3.24*2</f>
        <v>6.48</v>
      </c>
      <c r="J60" s="39" t="s">
        <v>67</v>
      </c>
      <c r="K60" s="48"/>
    </row>
    <row r="61" spans="2:25" x14ac:dyDescent="0.25">
      <c r="H61" s="76"/>
      <c r="I61" s="5">
        <f>3.53*2</f>
        <v>7.06</v>
      </c>
      <c r="J61" s="39" t="s">
        <v>67</v>
      </c>
      <c r="K61" s="48"/>
      <c r="L61" t="s">
        <v>57</v>
      </c>
      <c r="M61" s="39">
        <v>3.53</v>
      </c>
      <c r="N61" s="39"/>
      <c r="O61" s="39"/>
    </row>
    <row r="62" spans="2:25" x14ac:dyDescent="0.25">
      <c r="C62" s="39"/>
      <c r="D62" s="39"/>
      <c r="E62" s="39"/>
      <c r="F62" s="39"/>
      <c r="G62" s="39"/>
      <c r="H62" s="76"/>
      <c r="I62" s="5">
        <f>3.53*2</f>
        <v>7.06</v>
      </c>
      <c r="J62" s="39" t="s">
        <v>67</v>
      </c>
      <c r="K62" s="48"/>
      <c r="M62" s="39"/>
      <c r="N62" s="39"/>
      <c r="O62" s="39"/>
      <c r="Y62" s="39"/>
    </row>
    <row r="63" spans="2:25" x14ac:dyDescent="0.25">
      <c r="H63" s="76"/>
      <c r="I63" s="39">
        <f>3.24*2</f>
        <v>6.48</v>
      </c>
      <c r="J63" s="39" t="s">
        <v>67</v>
      </c>
      <c r="K63" s="48"/>
      <c r="L63" t="s">
        <v>64</v>
      </c>
      <c r="M63" s="39">
        <v>3.24</v>
      </c>
      <c r="N63" s="39"/>
      <c r="O63" s="39"/>
    </row>
    <row r="64" spans="2:25" x14ac:dyDescent="0.25">
      <c r="H64" s="76"/>
      <c r="I64" s="39">
        <f>3.24*2</f>
        <v>6.48</v>
      </c>
      <c r="J64" s="39" t="s">
        <v>67</v>
      </c>
      <c r="K64" s="48"/>
      <c r="L64" t="s">
        <v>65</v>
      </c>
      <c r="M64" s="39">
        <v>3.24</v>
      </c>
      <c r="N64" s="39"/>
      <c r="O64" s="39"/>
    </row>
    <row r="65" spans="8:15" x14ac:dyDescent="0.25">
      <c r="H65" s="76"/>
      <c r="I65" s="39">
        <f>3.53*2</f>
        <v>7.06</v>
      </c>
      <c r="J65" s="39" t="s">
        <v>67</v>
      </c>
      <c r="L65" t="s">
        <v>66</v>
      </c>
      <c r="M65" s="39">
        <v>3.53</v>
      </c>
      <c r="N65" s="39"/>
      <c r="O65" s="39"/>
    </row>
    <row r="66" spans="8:15" x14ac:dyDescent="0.25">
      <c r="H66" s="76"/>
      <c r="I66" s="39">
        <f>3.53*2</f>
        <v>7.06</v>
      </c>
      <c r="J66" s="39" t="s">
        <v>67</v>
      </c>
    </row>
    <row r="67" spans="8:15" x14ac:dyDescent="0.25">
      <c r="H67" s="76"/>
      <c r="I67" s="39">
        <f>3.24*2</f>
        <v>6.48</v>
      </c>
      <c r="J67" s="39" t="s">
        <v>67</v>
      </c>
    </row>
    <row r="68" spans="8:15" x14ac:dyDescent="0.25">
      <c r="H68" s="76"/>
      <c r="I68" s="39">
        <f>3.24*2</f>
        <v>6.48</v>
      </c>
      <c r="J68" s="39" t="s">
        <v>67</v>
      </c>
    </row>
    <row r="69" spans="8:15" x14ac:dyDescent="0.25">
      <c r="H69" s="76"/>
      <c r="I69" s="39">
        <f>3.24*2</f>
        <v>6.48</v>
      </c>
      <c r="J69" s="39" t="s">
        <v>67</v>
      </c>
    </row>
    <row r="70" spans="8:15" x14ac:dyDescent="0.25">
      <c r="H70" s="76"/>
      <c r="I70" s="39">
        <f>3.24*2</f>
        <v>6.48</v>
      </c>
      <c r="J70" s="39" t="s">
        <v>67</v>
      </c>
    </row>
    <row r="71" spans="8:15" x14ac:dyDescent="0.25">
      <c r="H71" s="76"/>
      <c r="I71" s="39">
        <f>3.24*2</f>
        <v>6.48</v>
      </c>
      <c r="J71" s="39" t="s">
        <v>67</v>
      </c>
    </row>
    <row r="72" spans="8:15" x14ac:dyDescent="0.25">
      <c r="H72" s="76"/>
      <c r="I72" s="39"/>
      <c r="J72" s="39"/>
    </row>
    <row r="73" spans="8:15" x14ac:dyDescent="0.25">
      <c r="H73" s="76"/>
      <c r="I73" s="39">
        <f>SUM(I58:I71)</f>
        <v>94.200000000000031</v>
      </c>
      <c r="J73" s="39"/>
    </row>
    <row r="74" spans="8:15" x14ac:dyDescent="0.25">
      <c r="H74" s="39"/>
      <c r="I74" s="39"/>
      <c r="J74" s="39"/>
    </row>
    <row r="75" spans="8:15" x14ac:dyDescent="0.25">
      <c r="J75" s="39"/>
    </row>
  </sheetData>
  <mergeCells count="33">
    <mergeCell ref="H57:H73"/>
    <mergeCell ref="I57:J57"/>
    <mergeCell ref="H35:J35"/>
    <mergeCell ref="I36:J36"/>
    <mergeCell ref="H36:H51"/>
    <mergeCell ref="H56:J56"/>
    <mergeCell ref="Q35:Q38"/>
    <mergeCell ref="R35:T35"/>
    <mergeCell ref="V35:V38"/>
    <mergeCell ref="W35:X35"/>
    <mergeCell ref="K37:K42"/>
    <mergeCell ref="M35:M38"/>
    <mergeCell ref="N35:O35"/>
    <mergeCell ref="I29:I32"/>
    <mergeCell ref="J29:L29"/>
    <mergeCell ref="I24:I27"/>
    <mergeCell ref="J24:K24"/>
    <mergeCell ref="M24:M27"/>
    <mergeCell ref="N24:Q24"/>
    <mergeCell ref="T24:U24"/>
    <mergeCell ref="S24:S27"/>
    <mergeCell ref="I17:I20"/>
    <mergeCell ref="J17:K17"/>
    <mergeCell ref="M17:M20"/>
    <mergeCell ref="N17:O17"/>
    <mergeCell ref="R17:V17"/>
    <mergeCell ref="Q17:Q20"/>
    <mergeCell ref="R10:T10"/>
    <mergeCell ref="I10:I13"/>
    <mergeCell ref="J10:K10"/>
    <mergeCell ref="M10:M13"/>
    <mergeCell ref="N10:O10"/>
    <mergeCell ref="Q10:Q13"/>
  </mergeCells>
  <pageMargins left="0.7" right="0.7" top="0.75" bottom="0.75" header="0.3" footer="0.3"/>
  <pageSetup paperSize="9" orientation="portrait" r:id="rId1"/>
  <ignoredErrors>
    <ignoredError sqref="I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76"/>
  <sheetViews>
    <sheetView topLeftCell="B16" zoomScaleNormal="100" workbookViewId="0">
      <selection activeCell="AA27" sqref="AA27"/>
    </sheetView>
  </sheetViews>
  <sheetFormatPr defaultRowHeight="15" x14ac:dyDescent="0.25"/>
  <cols>
    <col min="3" max="3" width="9.140625" style="27"/>
    <col min="4" max="4" width="10.7109375" style="27" customWidth="1"/>
    <col min="5" max="10" width="9.140625" style="27"/>
    <col min="15" max="15" width="9.140625" style="5"/>
    <col min="24" max="24" width="9.140625" style="34"/>
    <col min="25" max="25" width="9.140625" style="27"/>
    <col min="26" max="26" width="9.140625" style="5"/>
  </cols>
  <sheetData>
    <row r="1" spans="2:28" x14ac:dyDescent="0.25">
      <c r="C1" s="27" t="s">
        <v>67</v>
      </c>
      <c r="D1" s="27" t="s">
        <v>67</v>
      </c>
      <c r="E1" s="27" t="s">
        <v>67</v>
      </c>
      <c r="F1" s="27" t="s">
        <v>67</v>
      </c>
      <c r="G1" s="27" t="s">
        <v>67</v>
      </c>
      <c r="H1" s="27" t="s">
        <v>67</v>
      </c>
      <c r="I1" s="27" t="s">
        <v>67</v>
      </c>
      <c r="J1" s="27" t="s">
        <v>67</v>
      </c>
      <c r="K1" s="27" t="s">
        <v>67</v>
      </c>
    </row>
    <row r="2" spans="2:28" x14ac:dyDescent="0.25">
      <c r="B2" t="s">
        <v>35</v>
      </c>
      <c r="C2" s="27">
        <v>1.1000000000000001</v>
      </c>
      <c r="D2" s="27">
        <v>1.1000000000000001</v>
      </c>
      <c r="E2" s="5">
        <v>1.1000000000000001</v>
      </c>
      <c r="F2" s="27">
        <v>1.49</v>
      </c>
      <c r="G2" s="27">
        <v>1.1000000000000001</v>
      </c>
      <c r="H2" s="27">
        <v>1.5</v>
      </c>
      <c r="I2" s="27">
        <v>1.1000000000000001</v>
      </c>
      <c r="J2" s="27">
        <v>1.1000000000000001</v>
      </c>
      <c r="K2" s="27">
        <v>1.1000000000000001</v>
      </c>
      <c r="L2" s="25">
        <f>SUM(C2:K2)</f>
        <v>10.69</v>
      </c>
      <c r="M2" s="27" t="s">
        <v>101</v>
      </c>
      <c r="N2" s="27"/>
      <c r="O2"/>
      <c r="X2"/>
      <c r="Y2"/>
      <c r="Z2"/>
    </row>
    <row r="3" spans="2:28" x14ac:dyDescent="0.25">
      <c r="C3" s="27" t="s">
        <v>66</v>
      </c>
      <c r="D3" s="27" t="s">
        <v>65</v>
      </c>
      <c r="E3" s="5" t="s">
        <v>65</v>
      </c>
      <c r="F3" s="27" t="s">
        <v>65</v>
      </c>
      <c r="G3" s="27" t="s">
        <v>65</v>
      </c>
      <c r="H3" s="27" t="s">
        <v>65</v>
      </c>
      <c r="I3" s="27" t="s">
        <v>65</v>
      </c>
      <c r="J3" s="27" t="s">
        <v>65</v>
      </c>
      <c r="K3" s="27" t="s">
        <v>65</v>
      </c>
      <c r="L3" s="27"/>
      <c r="M3" s="27"/>
      <c r="N3" s="27"/>
      <c r="O3"/>
      <c r="Y3" s="39" t="s">
        <v>97</v>
      </c>
    </row>
    <row r="4" spans="2:28" x14ac:dyDescent="0.25">
      <c r="C4" s="27" t="s">
        <v>66</v>
      </c>
      <c r="D4" s="27" t="s">
        <v>65</v>
      </c>
      <c r="E4" s="5" t="s">
        <v>65</v>
      </c>
      <c r="F4" s="27" t="s">
        <v>65</v>
      </c>
      <c r="G4" s="27" t="s">
        <v>65</v>
      </c>
      <c r="H4" s="27" t="s">
        <v>65</v>
      </c>
      <c r="I4" s="27" t="s">
        <v>65</v>
      </c>
      <c r="J4" s="27" t="s">
        <v>94</v>
      </c>
      <c r="K4" s="27" t="s">
        <v>94</v>
      </c>
      <c r="L4" s="27"/>
      <c r="M4" s="27"/>
      <c r="N4" s="27"/>
      <c r="O4"/>
      <c r="X4" s="47" t="s">
        <v>32</v>
      </c>
      <c r="Y4" s="39">
        <v>174</v>
      </c>
      <c r="Z4" s="5">
        <f>P40+S40</f>
        <v>173</v>
      </c>
    </row>
    <row r="5" spans="2:28" x14ac:dyDescent="0.25">
      <c r="D5"/>
      <c r="E5" s="5"/>
      <c r="K5" s="27"/>
      <c r="L5" s="27"/>
      <c r="M5" s="27"/>
      <c r="N5" s="27"/>
      <c r="O5"/>
      <c r="X5" s="47" t="s">
        <v>31</v>
      </c>
      <c r="Y5" s="39">
        <v>174</v>
      </c>
      <c r="Z5" s="5">
        <f>O40+T40</f>
        <v>173</v>
      </c>
    </row>
    <row r="6" spans="2:28" x14ac:dyDescent="0.25">
      <c r="B6" t="s">
        <v>34</v>
      </c>
      <c r="C6" s="27">
        <v>1.75</v>
      </c>
      <c r="D6" s="27">
        <v>1.59</v>
      </c>
      <c r="E6" s="28">
        <f>SUM(C6:D6)</f>
        <v>3.34</v>
      </c>
      <c r="K6" s="27"/>
      <c r="L6" s="27"/>
      <c r="M6" s="27"/>
      <c r="N6" s="27"/>
      <c r="O6"/>
      <c r="X6" s="47" t="s">
        <v>59</v>
      </c>
      <c r="Y6" s="39">
        <v>171.3</v>
      </c>
      <c r="Z6" s="5">
        <f>K55+Y41</f>
        <v>165.30000000000004</v>
      </c>
    </row>
    <row r="7" spans="2:28" x14ac:dyDescent="0.25">
      <c r="C7" s="27" t="s">
        <v>57</v>
      </c>
      <c r="D7" s="27" t="s">
        <v>57</v>
      </c>
      <c r="E7" s="5"/>
      <c r="K7" s="27"/>
      <c r="L7" s="27"/>
      <c r="M7" s="27"/>
      <c r="N7" s="27"/>
      <c r="O7"/>
      <c r="X7" s="47" t="s">
        <v>60</v>
      </c>
      <c r="Y7" s="39">
        <v>93.34</v>
      </c>
      <c r="Z7" s="5">
        <f>J75</f>
        <v>94.200000000000031</v>
      </c>
    </row>
    <row r="8" spans="2:28" x14ac:dyDescent="0.25">
      <c r="D8" s="27" t="s">
        <v>64</v>
      </c>
      <c r="E8" s="5"/>
      <c r="K8" s="27"/>
      <c r="L8" s="27"/>
      <c r="M8" s="27"/>
      <c r="N8" s="27"/>
      <c r="O8"/>
      <c r="X8"/>
      <c r="Y8"/>
      <c r="Z8"/>
    </row>
    <row r="9" spans="2:28" x14ac:dyDescent="0.25">
      <c r="X9" s="41"/>
      <c r="Y9" s="12" t="s">
        <v>97</v>
      </c>
      <c r="Z9" s="42"/>
      <c r="AA9" s="43"/>
      <c r="AB9" s="43"/>
    </row>
    <row r="10" spans="2:28" x14ac:dyDescent="0.25">
      <c r="B10" t="s">
        <v>57</v>
      </c>
      <c r="C10" s="26">
        <v>9</v>
      </c>
      <c r="D10" s="27" t="s">
        <v>56</v>
      </c>
      <c r="E10" s="27">
        <v>3.53</v>
      </c>
      <c r="I10" s="76" t="s">
        <v>33</v>
      </c>
      <c r="J10" s="78">
        <v>19</v>
      </c>
      <c r="K10" s="78"/>
      <c r="L10" s="30" t="s">
        <v>67</v>
      </c>
      <c r="M10" s="76" t="s">
        <v>39</v>
      </c>
      <c r="N10" s="78">
        <f>16*4</f>
        <v>64</v>
      </c>
      <c r="O10" s="78"/>
      <c r="P10" t="s">
        <v>67</v>
      </c>
      <c r="Q10" s="76" t="s">
        <v>29</v>
      </c>
      <c r="R10" s="78">
        <f>16*3</f>
        <v>48</v>
      </c>
      <c r="S10" s="78"/>
      <c r="T10" s="78"/>
      <c r="U10" t="s">
        <v>67</v>
      </c>
      <c r="X10" s="41">
        <v>1</v>
      </c>
      <c r="Y10" s="32">
        <v>20</v>
      </c>
      <c r="Z10" s="29">
        <f>D22+C10+C11</f>
        <v>20</v>
      </c>
      <c r="AA10" s="12">
        <f>U20+P27+D22</f>
        <v>20</v>
      </c>
      <c r="AB10" s="43"/>
    </row>
    <row r="11" spans="2:28" ht="18" customHeight="1" x14ac:dyDescent="0.25">
      <c r="B11" t="s">
        <v>64</v>
      </c>
      <c r="C11" s="26">
        <v>10</v>
      </c>
      <c r="D11" s="27" t="s">
        <v>56</v>
      </c>
      <c r="E11" s="27">
        <v>3.24</v>
      </c>
      <c r="I11" s="76"/>
      <c r="J11" s="9" t="s">
        <v>4</v>
      </c>
      <c r="K11" s="9" t="s">
        <v>5</v>
      </c>
      <c r="L11" s="9"/>
      <c r="M11" s="76"/>
      <c r="N11" s="9" t="s">
        <v>4</v>
      </c>
      <c r="O11" s="9" t="s">
        <v>49</v>
      </c>
      <c r="Q11" s="76"/>
      <c r="R11" s="9" t="s">
        <v>4</v>
      </c>
      <c r="S11" s="9" t="s">
        <v>30</v>
      </c>
      <c r="T11" s="9" t="s">
        <v>5</v>
      </c>
      <c r="X11" s="41">
        <v>2</v>
      </c>
      <c r="Y11" s="32">
        <v>18</v>
      </c>
      <c r="Z11" s="32">
        <f>C12+C13+1</f>
        <v>18</v>
      </c>
      <c r="AA11" s="12">
        <f>V20+L32</f>
        <v>18</v>
      </c>
      <c r="AB11" s="43" t="s">
        <v>95</v>
      </c>
    </row>
    <row r="12" spans="2:28" x14ac:dyDescent="0.25">
      <c r="B12" t="s">
        <v>65</v>
      </c>
      <c r="C12" s="26">
        <v>15</v>
      </c>
      <c r="D12" s="27" t="s">
        <v>53</v>
      </c>
      <c r="E12" s="27">
        <v>3.24</v>
      </c>
      <c r="I12" s="76"/>
      <c r="J12" s="5">
        <v>1</v>
      </c>
      <c r="K12" s="27">
        <v>1</v>
      </c>
      <c r="M12" s="76"/>
      <c r="N12" s="5">
        <v>2</v>
      </c>
      <c r="O12" s="27"/>
      <c r="Q12" s="76"/>
      <c r="R12" s="5">
        <v>1</v>
      </c>
      <c r="S12" s="5">
        <v>1</v>
      </c>
      <c r="T12" s="5">
        <v>1</v>
      </c>
      <c r="X12" s="41" t="s">
        <v>4</v>
      </c>
      <c r="Y12" s="45">
        <v>190</v>
      </c>
      <c r="Z12" s="45">
        <f>J13+N13+R13+J20</f>
        <v>193</v>
      </c>
      <c r="AA12" s="43"/>
      <c r="AB12" s="43"/>
    </row>
    <row r="13" spans="2:28" x14ac:dyDescent="0.25">
      <c r="B13" t="s">
        <v>66</v>
      </c>
      <c r="C13" s="26">
        <v>2</v>
      </c>
      <c r="D13" s="27" t="s">
        <v>53</v>
      </c>
      <c r="E13" s="27">
        <v>3.53</v>
      </c>
      <c r="I13" s="76"/>
      <c r="J13" s="18">
        <f>J12*J10</f>
        <v>19</v>
      </c>
      <c r="K13" s="9">
        <f>K12*J10</f>
        <v>19</v>
      </c>
      <c r="M13" s="76"/>
      <c r="N13" s="18">
        <f>(N12*N10)-4-4+D37+D21</f>
        <v>125</v>
      </c>
      <c r="O13" s="27"/>
      <c r="Q13" s="76"/>
      <c r="R13" s="18">
        <f>R12*R10</f>
        <v>48</v>
      </c>
      <c r="S13" s="18">
        <f>S12*R10</f>
        <v>48</v>
      </c>
      <c r="T13" s="18">
        <f>T12*R10</f>
        <v>48</v>
      </c>
      <c r="X13" s="41" t="s">
        <v>41</v>
      </c>
      <c r="Y13" s="32">
        <v>19</v>
      </c>
      <c r="Z13" s="32">
        <f>R20+N27</f>
        <v>19</v>
      </c>
      <c r="AA13" s="43"/>
      <c r="AB13" s="43"/>
    </row>
    <row r="14" spans="2:28" x14ac:dyDescent="0.25">
      <c r="N14" t="s">
        <v>93</v>
      </c>
      <c r="X14" s="41" t="s">
        <v>58</v>
      </c>
      <c r="Y14" s="32">
        <v>17</v>
      </c>
      <c r="Z14" s="32">
        <f>S20+O27</f>
        <v>17</v>
      </c>
      <c r="AA14" s="43"/>
      <c r="AB14" s="43"/>
    </row>
    <row r="15" spans="2:28" x14ac:dyDescent="0.25">
      <c r="B15" t="s">
        <v>63</v>
      </c>
      <c r="C15" s="27" t="s">
        <v>69</v>
      </c>
      <c r="D15" s="27" t="s">
        <v>71</v>
      </c>
      <c r="E15" s="11">
        <f>C10+C11+D22</f>
        <v>20</v>
      </c>
      <c r="X15" s="41" t="s">
        <v>30</v>
      </c>
      <c r="Y15" s="32">
        <v>48</v>
      </c>
      <c r="Z15" s="32">
        <f>S13</f>
        <v>48</v>
      </c>
      <c r="AA15" s="43"/>
      <c r="AB15" s="43"/>
    </row>
    <row r="16" spans="2:28" x14ac:dyDescent="0.25">
      <c r="B16" t="s">
        <v>63</v>
      </c>
      <c r="C16" s="27" t="s">
        <v>70</v>
      </c>
      <c r="D16" s="27" t="s">
        <v>72</v>
      </c>
      <c r="E16" s="9">
        <f>C12+C13</f>
        <v>17</v>
      </c>
      <c r="X16" s="41" t="s">
        <v>37</v>
      </c>
      <c r="Y16" s="32">
        <v>33</v>
      </c>
      <c r="Z16" s="32">
        <f>N20+T27</f>
        <v>33</v>
      </c>
      <c r="AA16" s="43">
        <f>(C10+C11+C12+C13)</f>
        <v>36</v>
      </c>
      <c r="AB16" s="43">
        <f>Z16+Z17</f>
        <v>36</v>
      </c>
    </row>
    <row r="17" spans="2:30" x14ac:dyDescent="0.25">
      <c r="I17" s="76" t="s">
        <v>84</v>
      </c>
      <c r="J17" s="78">
        <v>1</v>
      </c>
      <c r="K17" s="78"/>
      <c r="L17" s="30" t="s">
        <v>67</v>
      </c>
      <c r="M17" s="76" t="s">
        <v>36</v>
      </c>
      <c r="N17" s="78">
        <v>13</v>
      </c>
      <c r="O17" s="78"/>
      <c r="P17" t="s">
        <v>67</v>
      </c>
      <c r="Q17" s="76" t="s">
        <v>40</v>
      </c>
      <c r="R17" s="78">
        <v>14</v>
      </c>
      <c r="S17" s="78"/>
      <c r="T17" s="78"/>
      <c r="U17" s="78"/>
      <c r="V17" s="78"/>
      <c r="W17" t="s">
        <v>67</v>
      </c>
      <c r="X17" s="41" t="s">
        <v>48</v>
      </c>
      <c r="Y17" s="32">
        <v>3</v>
      </c>
      <c r="Z17" s="32">
        <f>J27</f>
        <v>3</v>
      </c>
      <c r="AA17" s="43"/>
      <c r="AB17" s="43"/>
    </row>
    <row r="18" spans="2:30" ht="27" x14ac:dyDescent="0.25">
      <c r="B18" t="s">
        <v>62</v>
      </c>
      <c r="C18" s="27">
        <v>1</v>
      </c>
      <c r="D18" s="27" t="s">
        <v>87</v>
      </c>
      <c r="I18" s="76"/>
      <c r="J18" s="9" t="s">
        <v>4</v>
      </c>
      <c r="K18" s="9" t="s">
        <v>49</v>
      </c>
      <c r="L18" s="9"/>
      <c r="M18" s="76"/>
      <c r="N18" s="9" t="s">
        <v>37</v>
      </c>
      <c r="O18" s="9" t="s">
        <v>38</v>
      </c>
      <c r="Q18" s="76"/>
      <c r="R18" s="16" t="s">
        <v>43</v>
      </c>
      <c r="S18" s="16" t="s">
        <v>42</v>
      </c>
      <c r="T18" s="9" t="s">
        <v>5</v>
      </c>
      <c r="U18" s="16" t="s">
        <v>44</v>
      </c>
      <c r="V18" s="16" t="s">
        <v>45</v>
      </c>
      <c r="X18" s="44" t="s">
        <v>89</v>
      </c>
      <c r="Y18" s="32">
        <v>2</v>
      </c>
      <c r="Z18" s="32">
        <f>J32</f>
        <v>2</v>
      </c>
      <c r="AA18" s="42" t="s">
        <v>9</v>
      </c>
      <c r="AB18" s="42" t="s">
        <v>102</v>
      </c>
      <c r="AC18" t="s">
        <v>77</v>
      </c>
    </row>
    <row r="19" spans="2:30" x14ac:dyDescent="0.25">
      <c r="B19" t="s">
        <v>77</v>
      </c>
      <c r="C19" s="27">
        <v>1</v>
      </c>
      <c r="D19" s="27">
        <f>C19*C18</f>
        <v>1</v>
      </c>
      <c r="I19" s="76"/>
      <c r="J19" s="5">
        <v>1</v>
      </c>
      <c r="K19" s="5"/>
      <c r="L19" s="5"/>
      <c r="M19" s="76"/>
      <c r="N19" s="5">
        <f>1</f>
        <v>1</v>
      </c>
      <c r="O19" s="5">
        <v>4</v>
      </c>
      <c r="Q19" s="76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41" t="s">
        <v>5</v>
      </c>
      <c r="Y19" s="45">
        <v>100</v>
      </c>
      <c r="Z19" s="45">
        <f>K13+T13+T20+K32</f>
        <v>102</v>
      </c>
      <c r="AA19" s="42">
        <v>19</v>
      </c>
      <c r="AB19" s="42">
        <f>67-AA19</f>
        <v>48</v>
      </c>
      <c r="AC19" s="55">
        <f>100-AA19-AB19</f>
        <v>33</v>
      </c>
      <c r="AD19">
        <f>AB19+AA19+AC19</f>
        <v>100</v>
      </c>
    </row>
    <row r="20" spans="2:30" x14ac:dyDescent="0.25">
      <c r="B20" t="s">
        <v>78</v>
      </c>
      <c r="C20" s="27">
        <v>1</v>
      </c>
      <c r="D20" s="27">
        <f>C20*C18</f>
        <v>1</v>
      </c>
      <c r="I20" s="76"/>
      <c r="J20" s="18">
        <f>J19*J17</f>
        <v>1</v>
      </c>
      <c r="K20" s="18"/>
      <c r="L20" s="18"/>
      <c r="M20" s="76"/>
      <c r="N20" s="18">
        <f>N19*N17+(X25*X22)+(X27*X31)+(D26*N19)+D30*N19+D41*N19+D46*N19+D50*N19+D55*N19</f>
        <v>30</v>
      </c>
      <c r="O20" s="18">
        <f>N20*O19</f>
        <v>120</v>
      </c>
      <c r="Q20" s="76"/>
      <c r="R20" s="9">
        <f>R19*R17+D19*R19+D33*R19</f>
        <v>16</v>
      </c>
      <c r="S20" s="9">
        <f>S19*D25+D29*S19+D40*S19+D44*S19+D50*S19+D53*S19</f>
        <v>17</v>
      </c>
      <c r="T20" s="9">
        <f>R17+D19+D25+D29+D33+D40+D44+D49+D53</f>
        <v>33</v>
      </c>
      <c r="U20" s="9">
        <f>R20*U19</f>
        <v>16</v>
      </c>
      <c r="V20" s="9">
        <f>S20*V19</f>
        <v>17</v>
      </c>
      <c r="X20" s="41" t="s">
        <v>38</v>
      </c>
      <c r="Y20" s="32">
        <v>132</v>
      </c>
      <c r="Z20" s="32">
        <f>O20+U27</f>
        <v>132</v>
      </c>
      <c r="AA20" s="43"/>
      <c r="AB20" s="43"/>
    </row>
    <row r="21" spans="2:30" x14ac:dyDescent="0.25">
      <c r="B21" t="s">
        <v>79</v>
      </c>
      <c r="C21" s="27">
        <v>1</v>
      </c>
      <c r="D21" s="27">
        <f>C21*C18</f>
        <v>1</v>
      </c>
      <c r="F21" s="27" t="s">
        <v>92</v>
      </c>
      <c r="X21" s="41"/>
      <c r="Y21" s="12"/>
      <c r="Z21" s="42"/>
      <c r="AA21" s="43"/>
      <c r="AB21" s="43"/>
    </row>
    <row r="22" spans="2:30" x14ac:dyDescent="0.25">
      <c r="B22" t="s">
        <v>69</v>
      </c>
      <c r="C22" s="27">
        <v>1</v>
      </c>
      <c r="D22" s="26">
        <f>C22*C18</f>
        <v>1</v>
      </c>
    </row>
    <row r="24" spans="2:30" x14ac:dyDescent="0.25">
      <c r="B24" t="s">
        <v>52</v>
      </c>
      <c r="C24" s="27">
        <v>2</v>
      </c>
      <c r="D24" s="27" t="s">
        <v>85</v>
      </c>
      <c r="I24" s="76" t="s">
        <v>47</v>
      </c>
      <c r="J24" s="78">
        <v>2</v>
      </c>
      <c r="K24" s="78"/>
      <c r="L24" t="s">
        <v>67</v>
      </c>
      <c r="M24" s="76" t="s">
        <v>50</v>
      </c>
      <c r="N24" s="78">
        <v>2</v>
      </c>
      <c r="O24" s="78"/>
      <c r="P24" s="78"/>
      <c r="Q24" s="78"/>
      <c r="R24" s="31" t="s">
        <v>67</v>
      </c>
      <c r="S24" s="76" t="s">
        <v>55</v>
      </c>
      <c r="T24" s="78">
        <v>1</v>
      </c>
      <c r="U24" s="78"/>
      <c r="V24" t="s">
        <v>67</v>
      </c>
    </row>
    <row r="25" spans="2:30" ht="27" x14ac:dyDescent="0.25">
      <c r="B25" s="21" t="s">
        <v>77</v>
      </c>
      <c r="C25" s="27">
        <v>2</v>
      </c>
      <c r="D25" s="27">
        <f>C25*C24</f>
        <v>4</v>
      </c>
      <c r="I25" s="76"/>
      <c r="J25" s="9" t="s">
        <v>48</v>
      </c>
      <c r="K25" s="9" t="s">
        <v>49</v>
      </c>
      <c r="M25" s="76"/>
      <c r="N25" s="16" t="s">
        <v>43</v>
      </c>
      <c r="O25" s="16" t="s">
        <v>42</v>
      </c>
      <c r="P25" s="16" t="s">
        <v>44</v>
      </c>
      <c r="Q25" s="16" t="s">
        <v>45</v>
      </c>
      <c r="R25" s="16"/>
      <c r="S25" s="76"/>
      <c r="T25" s="9" t="s">
        <v>37</v>
      </c>
      <c r="U25" s="9" t="s">
        <v>38</v>
      </c>
    </row>
    <row r="26" spans="2:30" x14ac:dyDescent="0.25">
      <c r="B26" s="21" t="s">
        <v>80</v>
      </c>
      <c r="C26" s="27">
        <v>2</v>
      </c>
      <c r="D26" s="27">
        <f>C26*C24</f>
        <v>4</v>
      </c>
      <c r="I26" s="76"/>
      <c r="J26" s="5">
        <v>1</v>
      </c>
      <c r="M26" s="76"/>
      <c r="N26" s="5">
        <v>1</v>
      </c>
      <c r="O26" s="5" t="s">
        <v>27</v>
      </c>
      <c r="P26" s="5">
        <f>N26</f>
        <v>1</v>
      </c>
      <c r="Q26" s="5" t="s">
        <v>27</v>
      </c>
      <c r="R26" s="5"/>
      <c r="S26" s="76"/>
      <c r="T26" s="5">
        <v>1</v>
      </c>
      <c r="U26" s="5">
        <f>T26*4</f>
        <v>4</v>
      </c>
      <c r="W26" t="s">
        <v>98</v>
      </c>
    </row>
    <row r="27" spans="2:30" x14ac:dyDescent="0.25">
      <c r="I27" s="76"/>
      <c r="J27" s="18">
        <f>J26*J24+D36*J26</f>
        <v>3</v>
      </c>
      <c r="M27" s="76"/>
      <c r="N27" s="9">
        <f>N26*N24+D34*N26</f>
        <v>3</v>
      </c>
      <c r="O27" s="9"/>
      <c r="P27" s="9">
        <f>N27*P26</f>
        <v>3</v>
      </c>
      <c r="S27" s="76"/>
      <c r="T27" s="18">
        <f>D20*T26+D35*T26+T26*T24</f>
        <v>3</v>
      </c>
      <c r="U27" s="18">
        <f>T27*U26</f>
        <v>12</v>
      </c>
    </row>
    <row r="28" spans="2:30" x14ac:dyDescent="0.25">
      <c r="B28" t="s">
        <v>51</v>
      </c>
      <c r="C28" s="27">
        <v>6</v>
      </c>
      <c r="D28" s="27" t="s">
        <v>85</v>
      </c>
    </row>
    <row r="29" spans="2:30" x14ac:dyDescent="0.25">
      <c r="B29" t="s">
        <v>77</v>
      </c>
      <c r="C29" s="27">
        <v>2</v>
      </c>
      <c r="D29" s="27">
        <f>C29*C28</f>
        <v>12</v>
      </c>
      <c r="I29" s="76" t="s">
        <v>88</v>
      </c>
      <c r="J29" s="81"/>
      <c r="K29" s="81"/>
      <c r="L29" s="81"/>
    </row>
    <row r="30" spans="2:30" x14ac:dyDescent="0.25">
      <c r="B30" t="s">
        <v>80</v>
      </c>
      <c r="C30" s="27">
        <v>2</v>
      </c>
      <c r="D30" s="27">
        <f>C30*C28</f>
        <v>12</v>
      </c>
      <c r="I30" s="76"/>
      <c r="J30" s="18" t="s">
        <v>89</v>
      </c>
      <c r="K30" s="18" t="s">
        <v>5</v>
      </c>
      <c r="L30" s="18">
        <v>2</v>
      </c>
    </row>
    <row r="31" spans="2:30" x14ac:dyDescent="0.25">
      <c r="I31" s="76"/>
      <c r="J31" s="5">
        <v>2</v>
      </c>
      <c r="K31" s="5">
        <v>2</v>
      </c>
      <c r="L31" s="5">
        <v>1</v>
      </c>
    </row>
    <row r="32" spans="2:30" x14ac:dyDescent="0.25">
      <c r="B32" t="s">
        <v>54</v>
      </c>
      <c r="C32" s="27">
        <v>1</v>
      </c>
      <c r="D32" s="33" t="s">
        <v>86</v>
      </c>
      <c r="I32" s="76"/>
      <c r="J32" s="9">
        <f>J31*D45+D54*J31</f>
        <v>2</v>
      </c>
      <c r="K32" s="9">
        <f>D45*K31+D54*K31</f>
        <v>2</v>
      </c>
      <c r="L32" s="9">
        <f>D45*L31+D54*L31</f>
        <v>1</v>
      </c>
    </row>
    <row r="33" spans="2:26" x14ac:dyDescent="0.25">
      <c r="B33" t="s">
        <v>77</v>
      </c>
      <c r="C33" s="27">
        <v>1</v>
      </c>
      <c r="D33" s="27">
        <f>C33*C32</f>
        <v>1</v>
      </c>
    </row>
    <row r="34" spans="2:26" x14ac:dyDescent="0.25">
      <c r="B34" t="s">
        <v>81</v>
      </c>
      <c r="C34" s="27">
        <v>1</v>
      </c>
      <c r="D34" s="27">
        <f>C34*C32</f>
        <v>1</v>
      </c>
    </row>
    <row r="35" spans="2:26" x14ac:dyDescent="0.25">
      <c r="B35" t="s">
        <v>78</v>
      </c>
      <c r="C35" s="27">
        <v>1</v>
      </c>
      <c r="D35" s="27">
        <f>C35*C32</f>
        <v>1</v>
      </c>
    </row>
    <row r="36" spans="2:26" x14ac:dyDescent="0.25">
      <c r="B36" t="s">
        <v>82</v>
      </c>
      <c r="C36" s="27">
        <v>1</v>
      </c>
      <c r="D36" s="27">
        <f>C36*C32</f>
        <v>1</v>
      </c>
    </row>
    <row r="37" spans="2:26" x14ac:dyDescent="0.25">
      <c r="B37" t="s">
        <v>79</v>
      </c>
      <c r="C37" s="27">
        <v>4</v>
      </c>
      <c r="D37" s="27">
        <f>C37*C32</f>
        <v>4</v>
      </c>
      <c r="F37" s="27" t="s">
        <v>92</v>
      </c>
      <c r="I37" s="76"/>
      <c r="J37" s="76"/>
      <c r="K37" s="76"/>
      <c r="N37" s="76" t="s">
        <v>39</v>
      </c>
      <c r="O37" s="78"/>
      <c r="P37" s="78"/>
      <c r="R37" s="76" t="s">
        <v>29</v>
      </c>
      <c r="S37" s="78"/>
      <c r="T37" s="78"/>
      <c r="U37" s="78"/>
      <c r="W37" s="76" t="s">
        <v>84</v>
      </c>
      <c r="X37" s="78"/>
      <c r="Y37" s="78"/>
      <c r="Z37" s="39"/>
    </row>
    <row r="38" spans="2:26" x14ac:dyDescent="0.25">
      <c r="I38" s="76" t="s">
        <v>33</v>
      </c>
      <c r="J38" s="79" t="s">
        <v>99</v>
      </c>
      <c r="K38" s="79"/>
      <c r="N38" s="76"/>
      <c r="O38" s="9" t="s">
        <v>31</v>
      </c>
      <c r="P38" s="9" t="s">
        <v>32</v>
      </c>
      <c r="R38" s="76"/>
      <c r="S38" s="9" t="s">
        <v>32</v>
      </c>
      <c r="T38" s="9" t="s">
        <v>31</v>
      </c>
      <c r="U38" s="9"/>
      <c r="W38" s="76"/>
      <c r="X38" s="9" t="s">
        <v>59</v>
      </c>
      <c r="Y38" s="9"/>
      <c r="Z38" s="39"/>
    </row>
    <row r="39" spans="2:26" x14ac:dyDescent="0.25">
      <c r="B39" t="s">
        <v>73</v>
      </c>
      <c r="C39" s="27">
        <v>0</v>
      </c>
      <c r="D39" s="27" t="s">
        <v>85</v>
      </c>
      <c r="I39" s="76"/>
      <c r="J39" s="5">
        <v>1.28</v>
      </c>
      <c r="K39" s="5">
        <f t="shared" ref="K39:K54" si="0">J39*3</f>
        <v>3.84</v>
      </c>
      <c r="L39" s="80" t="s">
        <v>100</v>
      </c>
      <c r="M39" t="s">
        <v>67</v>
      </c>
      <c r="N39" s="76"/>
      <c r="O39" s="5">
        <v>2</v>
      </c>
      <c r="P39" s="39">
        <v>2</v>
      </c>
      <c r="R39" s="76"/>
      <c r="S39" s="5">
        <v>1</v>
      </c>
      <c r="T39" s="5">
        <v>1</v>
      </c>
      <c r="U39" s="5"/>
      <c r="W39" s="76"/>
      <c r="X39" s="5">
        <v>0.48</v>
      </c>
      <c r="Y39" s="5">
        <f>X39*3</f>
        <v>1.44</v>
      </c>
      <c r="Z39" s="39"/>
    </row>
    <row r="40" spans="2:26" x14ac:dyDescent="0.25">
      <c r="B40" t="s">
        <v>77</v>
      </c>
      <c r="C40" s="27">
        <v>2</v>
      </c>
      <c r="D40" s="27">
        <f>C40*C39</f>
        <v>0</v>
      </c>
      <c r="I40" s="76"/>
      <c r="J40" s="5">
        <v>1.28</v>
      </c>
      <c r="K40" s="5">
        <f t="shared" si="0"/>
        <v>3.84</v>
      </c>
      <c r="L40" s="80"/>
      <c r="M40" t="s">
        <v>67</v>
      </c>
      <c r="N40" s="76"/>
      <c r="O40" s="18">
        <f>(N12*N10)-4-4+D37+D21</f>
        <v>125</v>
      </c>
      <c r="P40" s="9">
        <f>O40</f>
        <v>125</v>
      </c>
      <c r="R40" s="76"/>
      <c r="S40" s="18">
        <f>R12*R10</f>
        <v>48</v>
      </c>
      <c r="T40" s="18">
        <f>S40</f>
        <v>48</v>
      </c>
      <c r="U40" s="18"/>
      <c r="W40" s="76"/>
      <c r="X40" s="49">
        <v>2.74</v>
      </c>
      <c r="Y40" s="49">
        <f>X40*3</f>
        <v>8.2200000000000006</v>
      </c>
      <c r="Z40" s="39"/>
    </row>
    <row r="41" spans="2:26" x14ac:dyDescent="0.25">
      <c r="B41" t="s">
        <v>80</v>
      </c>
      <c r="C41" s="27">
        <v>2</v>
      </c>
      <c r="D41" s="27">
        <f>C41*C39</f>
        <v>0</v>
      </c>
      <c r="I41" s="76"/>
      <c r="J41" s="39">
        <v>4.34</v>
      </c>
      <c r="K41" s="39">
        <f t="shared" si="0"/>
        <v>13.02</v>
      </c>
      <c r="L41" s="80"/>
      <c r="M41" t="s">
        <v>67</v>
      </c>
      <c r="O41"/>
      <c r="P41" s="5"/>
      <c r="X41"/>
      <c r="Y41" s="9">
        <f>SUM(Y39:Y40)</f>
        <v>9.66</v>
      </c>
      <c r="Z41" s="39"/>
    </row>
    <row r="42" spans="2:26" x14ac:dyDescent="0.25">
      <c r="I42" s="76"/>
      <c r="J42" s="5">
        <v>5.6</v>
      </c>
      <c r="K42" s="39">
        <f t="shared" si="0"/>
        <v>16.799999999999997</v>
      </c>
      <c r="L42" s="80"/>
      <c r="M42" t="s">
        <v>67</v>
      </c>
      <c r="O42"/>
      <c r="P42" s="5"/>
      <c r="X42"/>
      <c r="Y42" s="34"/>
      <c r="Z42" s="39"/>
    </row>
    <row r="43" spans="2:26" x14ac:dyDescent="0.25">
      <c r="B43" t="s">
        <v>74</v>
      </c>
      <c r="C43" s="27">
        <v>1</v>
      </c>
      <c r="D43" s="27" t="s">
        <v>85</v>
      </c>
      <c r="I43" s="76"/>
      <c r="J43" s="39">
        <v>5.6</v>
      </c>
      <c r="K43" s="39">
        <f t="shared" si="0"/>
        <v>16.799999999999997</v>
      </c>
      <c r="L43" s="80"/>
      <c r="M43" t="s">
        <v>67</v>
      </c>
      <c r="O43"/>
      <c r="P43" s="5"/>
      <c r="X43"/>
      <c r="Y43" s="34"/>
      <c r="Z43" s="39"/>
    </row>
    <row r="44" spans="2:26" x14ac:dyDescent="0.25">
      <c r="B44" t="s">
        <v>77</v>
      </c>
      <c r="C44" s="27">
        <v>1</v>
      </c>
      <c r="D44" s="27">
        <f>C44*C43</f>
        <v>1</v>
      </c>
      <c r="I44" s="76"/>
      <c r="J44" s="39">
        <v>1.41</v>
      </c>
      <c r="K44" s="39">
        <f t="shared" si="0"/>
        <v>4.2299999999999995</v>
      </c>
      <c r="L44" s="80"/>
      <c r="M44" t="s">
        <v>67</v>
      </c>
      <c r="O44"/>
      <c r="P44" s="5"/>
      <c r="X44"/>
      <c r="Y44" s="34"/>
      <c r="Z44" s="39"/>
    </row>
    <row r="45" spans="2:26" x14ac:dyDescent="0.25">
      <c r="B45" t="s">
        <v>83</v>
      </c>
      <c r="C45" s="27">
        <v>1</v>
      </c>
      <c r="D45" s="27">
        <f>C45*C43</f>
        <v>1</v>
      </c>
      <c r="I45" s="76"/>
      <c r="J45" s="39">
        <v>1.41</v>
      </c>
      <c r="K45" s="39">
        <f t="shared" si="0"/>
        <v>4.2299999999999995</v>
      </c>
      <c r="M45" t="s">
        <v>67</v>
      </c>
      <c r="O45"/>
      <c r="P45" s="5"/>
      <c r="X45"/>
      <c r="Y45" s="34"/>
      <c r="Z45" s="39"/>
    </row>
    <row r="46" spans="2:26" x14ac:dyDescent="0.25">
      <c r="B46" t="s">
        <v>80</v>
      </c>
      <c r="C46" s="27">
        <v>1</v>
      </c>
      <c r="D46" s="27">
        <f>C46*C43</f>
        <v>1</v>
      </c>
      <c r="I46" s="76"/>
      <c r="J46" s="39">
        <v>3.64</v>
      </c>
      <c r="K46" s="39">
        <f t="shared" si="0"/>
        <v>10.92</v>
      </c>
      <c r="M46" t="s">
        <v>67</v>
      </c>
      <c r="O46"/>
      <c r="P46" s="5"/>
      <c r="X46"/>
      <c r="Y46" s="34"/>
      <c r="Z46" s="39"/>
    </row>
    <row r="47" spans="2:26" x14ac:dyDescent="0.25">
      <c r="I47" s="76"/>
      <c r="J47" s="39">
        <v>3.4</v>
      </c>
      <c r="K47" s="39">
        <f t="shared" si="0"/>
        <v>10.199999999999999</v>
      </c>
      <c r="M47" t="s">
        <v>67</v>
      </c>
      <c r="O47"/>
      <c r="P47" s="5"/>
      <c r="X47"/>
      <c r="Y47" s="34"/>
      <c r="Z47" s="39"/>
    </row>
    <row r="48" spans="2:26" x14ac:dyDescent="0.25">
      <c r="B48" t="s">
        <v>75</v>
      </c>
      <c r="C48" s="27">
        <v>0</v>
      </c>
      <c r="D48" s="27" t="s">
        <v>90</v>
      </c>
      <c r="I48" s="76"/>
      <c r="J48" s="39">
        <v>1.41</v>
      </c>
      <c r="K48" s="39">
        <f t="shared" si="0"/>
        <v>4.2299999999999995</v>
      </c>
      <c r="M48" t="s">
        <v>67</v>
      </c>
      <c r="O48"/>
      <c r="P48" s="5"/>
      <c r="X48"/>
      <c r="Y48" s="34"/>
      <c r="Z48" s="39"/>
    </row>
    <row r="49" spans="2:26" x14ac:dyDescent="0.25">
      <c r="B49" t="s">
        <v>77</v>
      </c>
      <c r="C49" s="27">
        <v>2</v>
      </c>
      <c r="D49" s="27">
        <f>C49*C48</f>
        <v>0</v>
      </c>
      <c r="I49" s="76"/>
      <c r="J49" s="39">
        <v>1.41</v>
      </c>
      <c r="K49" s="39">
        <f t="shared" si="0"/>
        <v>4.2299999999999995</v>
      </c>
      <c r="M49" t="s">
        <v>67</v>
      </c>
      <c r="O49"/>
      <c r="P49" s="5"/>
      <c r="X49"/>
      <c r="Y49" s="34"/>
      <c r="Z49" s="39"/>
    </row>
    <row r="50" spans="2:26" x14ac:dyDescent="0.25">
      <c r="B50" t="s">
        <v>80</v>
      </c>
      <c r="C50" s="27">
        <v>2</v>
      </c>
      <c r="D50" s="27">
        <f>C50*C48</f>
        <v>0</v>
      </c>
      <c r="I50" s="76"/>
      <c r="J50" s="39">
        <v>3.64</v>
      </c>
      <c r="K50" s="39">
        <f t="shared" si="0"/>
        <v>10.92</v>
      </c>
      <c r="M50" t="s">
        <v>67</v>
      </c>
      <c r="O50"/>
      <c r="P50" s="5"/>
      <c r="X50"/>
      <c r="Y50" s="34"/>
      <c r="Z50" s="39"/>
    </row>
    <row r="51" spans="2:26" x14ac:dyDescent="0.25">
      <c r="I51" s="76"/>
      <c r="J51" s="39">
        <v>2.7</v>
      </c>
      <c r="K51" s="39">
        <f t="shared" si="0"/>
        <v>8.1000000000000014</v>
      </c>
      <c r="M51" t="s">
        <v>67</v>
      </c>
      <c r="O51"/>
      <c r="P51" s="5"/>
      <c r="X51"/>
      <c r="Y51" s="34"/>
      <c r="Z51" s="39"/>
    </row>
    <row r="52" spans="2:26" x14ac:dyDescent="0.25">
      <c r="B52" t="s">
        <v>76</v>
      </c>
      <c r="C52" s="27">
        <v>0</v>
      </c>
      <c r="D52" s="27" t="s">
        <v>85</v>
      </c>
      <c r="I52" s="76"/>
      <c r="J52" s="39">
        <v>3.56</v>
      </c>
      <c r="K52" s="39">
        <f t="shared" si="0"/>
        <v>10.68</v>
      </c>
      <c r="M52" t="s">
        <v>67</v>
      </c>
      <c r="O52"/>
      <c r="P52" s="5"/>
      <c r="X52"/>
      <c r="Y52" s="34"/>
      <c r="Z52" s="39"/>
    </row>
    <row r="53" spans="2:26" x14ac:dyDescent="0.25">
      <c r="B53" t="s">
        <v>77</v>
      </c>
      <c r="C53" s="27">
        <v>1</v>
      </c>
      <c r="D53" s="27">
        <f>C53*C52</f>
        <v>0</v>
      </c>
      <c r="I53" s="76"/>
      <c r="J53" s="39">
        <v>7.1</v>
      </c>
      <c r="K53" s="39">
        <f t="shared" si="0"/>
        <v>21.299999999999997</v>
      </c>
      <c r="M53" t="s">
        <v>67</v>
      </c>
      <c r="O53"/>
      <c r="P53" s="5"/>
      <c r="X53"/>
      <c r="Y53" s="34"/>
      <c r="Z53" s="39"/>
    </row>
    <row r="54" spans="2:26" x14ac:dyDescent="0.25">
      <c r="B54" t="s">
        <v>83</v>
      </c>
      <c r="C54" s="27">
        <v>1</v>
      </c>
      <c r="D54" s="27">
        <f>C54*C52</f>
        <v>0</v>
      </c>
      <c r="I54" s="76"/>
      <c r="J54" s="39">
        <v>4.0999999999999996</v>
      </c>
      <c r="K54" s="39">
        <f t="shared" si="0"/>
        <v>12.299999999999999</v>
      </c>
      <c r="M54" t="s">
        <v>67</v>
      </c>
      <c r="O54"/>
      <c r="P54" s="5"/>
      <c r="X54"/>
      <c r="Y54" s="34"/>
      <c r="Z54" s="39"/>
    </row>
    <row r="55" spans="2:26" x14ac:dyDescent="0.25">
      <c r="B55" t="s">
        <v>80</v>
      </c>
      <c r="C55" s="27">
        <v>1</v>
      </c>
      <c r="D55" s="27">
        <f>C55*C52</f>
        <v>0</v>
      </c>
      <c r="I55" s="39"/>
      <c r="J55" s="39"/>
      <c r="K55" s="9">
        <f>SUM(K39:K54)</f>
        <v>155.64000000000004</v>
      </c>
      <c r="O55"/>
      <c r="P55" s="5"/>
      <c r="X55"/>
      <c r="Y55" s="34"/>
      <c r="Z55" s="39"/>
    </row>
    <row r="56" spans="2:26" x14ac:dyDescent="0.25">
      <c r="I56" s="39"/>
      <c r="J56" s="39"/>
      <c r="K56" s="39"/>
      <c r="O56"/>
      <c r="P56" s="5"/>
      <c r="X56"/>
      <c r="Y56" s="34"/>
      <c r="Z56" s="39"/>
    </row>
    <row r="57" spans="2:26" x14ac:dyDescent="0.25">
      <c r="I57" s="39"/>
      <c r="J57" s="39"/>
      <c r="K57" s="39"/>
      <c r="O57"/>
      <c r="P57" s="5"/>
      <c r="X57"/>
      <c r="Y57" s="34"/>
      <c r="Z57" s="39"/>
    </row>
    <row r="58" spans="2:26" x14ac:dyDescent="0.25">
      <c r="I58" s="76"/>
      <c r="J58" s="76"/>
      <c r="K58" s="76"/>
      <c r="O58"/>
      <c r="P58" s="5"/>
      <c r="X58"/>
      <c r="Y58" s="34"/>
      <c r="Z58" s="39"/>
    </row>
    <row r="59" spans="2:26" x14ac:dyDescent="0.25">
      <c r="I59" s="76" t="s">
        <v>39</v>
      </c>
      <c r="J59" s="79" t="s">
        <v>61</v>
      </c>
      <c r="K59" s="79"/>
      <c r="O59"/>
      <c r="P59" s="5"/>
      <c r="X59"/>
      <c r="Y59" s="34"/>
      <c r="Z59" s="39"/>
    </row>
    <row r="60" spans="2:26" x14ac:dyDescent="0.25">
      <c r="I60" s="76"/>
      <c r="J60" s="5">
        <f>3.53*2</f>
        <v>7.06</v>
      </c>
      <c r="K60" s="5" t="s">
        <v>67</v>
      </c>
      <c r="L60" s="48"/>
      <c r="O60"/>
      <c r="P60" s="5"/>
      <c r="X60"/>
      <c r="Y60" s="34"/>
      <c r="Z60" s="39"/>
    </row>
    <row r="61" spans="2:26" x14ac:dyDescent="0.25">
      <c r="I61" s="76"/>
      <c r="J61" s="5">
        <f>3.53*2</f>
        <v>7.06</v>
      </c>
      <c r="K61" s="5" t="s">
        <v>67</v>
      </c>
      <c r="L61" s="48"/>
      <c r="O61"/>
      <c r="P61" s="5"/>
      <c r="X61"/>
      <c r="Y61" s="34"/>
      <c r="Z61" s="39"/>
    </row>
    <row r="62" spans="2:26" x14ac:dyDescent="0.25">
      <c r="I62" s="76"/>
      <c r="J62" s="39">
        <f>3.24*2</f>
        <v>6.48</v>
      </c>
      <c r="K62" s="39" t="s">
        <v>67</v>
      </c>
      <c r="L62" s="48"/>
      <c r="O62"/>
      <c r="P62" s="5"/>
      <c r="X62"/>
      <c r="Y62" s="34"/>
      <c r="Z62" s="39"/>
    </row>
    <row r="63" spans="2:26" x14ac:dyDescent="0.25">
      <c r="I63" s="76"/>
      <c r="J63" s="5">
        <f>3.53*2</f>
        <v>7.06</v>
      </c>
      <c r="K63" s="39" t="s">
        <v>67</v>
      </c>
      <c r="L63" s="48"/>
      <c r="M63" t="s">
        <v>57</v>
      </c>
      <c r="N63" s="39">
        <v>3.53</v>
      </c>
      <c r="O63" s="39"/>
      <c r="P63" s="39"/>
      <c r="X63"/>
      <c r="Y63" s="34"/>
      <c r="Z63" s="39"/>
    </row>
    <row r="64" spans="2:26" x14ac:dyDescent="0.25">
      <c r="I64" s="76"/>
      <c r="J64" s="5">
        <f>3.53*2</f>
        <v>7.06</v>
      </c>
      <c r="K64" s="39" t="s">
        <v>67</v>
      </c>
      <c r="L64" s="48"/>
      <c r="M64" t="s">
        <v>64</v>
      </c>
      <c r="N64" s="39">
        <v>3.24</v>
      </c>
      <c r="O64" s="39"/>
      <c r="P64" s="39"/>
      <c r="X64"/>
      <c r="Y64" s="34"/>
      <c r="Z64" s="39"/>
    </row>
    <row r="65" spans="9:26" x14ac:dyDescent="0.25">
      <c r="I65" s="76"/>
      <c r="J65" s="39">
        <f>3.24*2</f>
        <v>6.48</v>
      </c>
      <c r="K65" s="39" t="s">
        <v>67</v>
      </c>
      <c r="L65" s="48"/>
      <c r="M65" t="s">
        <v>65</v>
      </c>
      <c r="N65" s="39">
        <v>3.24</v>
      </c>
      <c r="O65" s="39"/>
      <c r="P65" s="39"/>
      <c r="X65"/>
      <c r="Y65" s="34"/>
      <c r="Z65" s="39"/>
    </row>
    <row r="66" spans="9:26" x14ac:dyDescent="0.25">
      <c r="I66" s="76"/>
      <c r="J66" s="39">
        <f>3.24*2</f>
        <v>6.48</v>
      </c>
      <c r="K66" s="39" t="s">
        <v>67</v>
      </c>
      <c r="L66" s="48"/>
      <c r="M66" t="s">
        <v>66</v>
      </c>
      <c r="N66" s="39">
        <v>3.53</v>
      </c>
      <c r="O66" s="39"/>
      <c r="P66" s="39"/>
      <c r="X66"/>
      <c r="Y66" s="34"/>
      <c r="Z66" s="39"/>
    </row>
    <row r="67" spans="9:26" x14ac:dyDescent="0.25">
      <c r="I67" s="76"/>
      <c r="J67" s="39">
        <f>3.53*2</f>
        <v>7.06</v>
      </c>
      <c r="K67" s="39" t="s">
        <v>67</v>
      </c>
      <c r="N67" s="39"/>
      <c r="O67" s="39"/>
      <c r="P67" s="39"/>
      <c r="X67"/>
      <c r="Y67" s="34"/>
      <c r="Z67" s="39"/>
    </row>
    <row r="68" spans="9:26" x14ac:dyDescent="0.25">
      <c r="I68" s="76"/>
      <c r="J68" s="39">
        <f>3.53*2</f>
        <v>7.06</v>
      </c>
      <c r="K68" s="39" t="s">
        <v>67</v>
      </c>
      <c r="O68"/>
      <c r="P68" s="5"/>
      <c r="X68"/>
      <c r="Y68" s="34"/>
      <c r="Z68" s="39"/>
    </row>
    <row r="69" spans="9:26" x14ac:dyDescent="0.25">
      <c r="I69" s="76"/>
      <c r="J69" s="39">
        <f>3.24*2</f>
        <v>6.48</v>
      </c>
      <c r="K69" s="39" t="s">
        <v>67</v>
      </c>
      <c r="O69"/>
      <c r="P69" s="5"/>
      <c r="X69"/>
      <c r="Y69" s="34"/>
      <c r="Z69" s="39"/>
    </row>
    <row r="70" spans="9:26" x14ac:dyDescent="0.25">
      <c r="I70" s="76"/>
      <c r="J70" s="39">
        <f>3.24*2</f>
        <v>6.48</v>
      </c>
      <c r="K70" s="39" t="s">
        <v>67</v>
      </c>
      <c r="O70"/>
      <c r="P70" s="5"/>
      <c r="X70"/>
      <c r="Y70" s="34"/>
      <c r="Z70" s="39"/>
    </row>
    <row r="71" spans="9:26" x14ac:dyDescent="0.25">
      <c r="I71" s="76"/>
      <c r="J71" s="39">
        <f>3.24*2</f>
        <v>6.48</v>
      </c>
      <c r="K71" s="39" t="s">
        <v>67</v>
      </c>
      <c r="O71"/>
      <c r="P71" s="5"/>
      <c r="X71"/>
      <c r="Y71" s="34"/>
      <c r="Z71" s="39"/>
    </row>
    <row r="72" spans="9:26" x14ac:dyDescent="0.25">
      <c r="I72" s="76"/>
      <c r="J72" s="39">
        <f>3.24*2</f>
        <v>6.48</v>
      </c>
      <c r="K72" s="39" t="s">
        <v>67</v>
      </c>
      <c r="O72"/>
      <c r="P72" s="5"/>
      <c r="X72"/>
      <c r="Y72" s="34"/>
      <c r="Z72" s="39"/>
    </row>
    <row r="73" spans="9:26" x14ac:dyDescent="0.25">
      <c r="I73" s="76"/>
      <c r="J73" s="39">
        <f>3.24*2</f>
        <v>6.48</v>
      </c>
      <c r="K73" s="39" t="s">
        <v>67</v>
      </c>
      <c r="O73"/>
      <c r="P73" s="5"/>
      <c r="X73"/>
      <c r="Y73" s="34"/>
      <c r="Z73" s="39"/>
    </row>
    <row r="74" spans="9:26" x14ac:dyDescent="0.25">
      <c r="I74" s="76"/>
      <c r="J74" s="39"/>
      <c r="K74" s="39"/>
      <c r="O74"/>
      <c r="P74" s="5"/>
      <c r="X74"/>
      <c r="Y74" s="34"/>
      <c r="Z74" s="39"/>
    </row>
    <row r="75" spans="9:26" x14ac:dyDescent="0.25">
      <c r="I75" s="76"/>
      <c r="J75" s="39">
        <f>SUM(J60:J73)</f>
        <v>94.200000000000031</v>
      </c>
      <c r="K75" s="39"/>
      <c r="O75"/>
      <c r="P75" s="5"/>
      <c r="X75"/>
      <c r="Y75" s="34"/>
      <c r="Z75" s="39"/>
    </row>
    <row r="76" spans="9:26" x14ac:dyDescent="0.25">
      <c r="J76" s="39"/>
      <c r="K76" s="39"/>
    </row>
  </sheetData>
  <mergeCells count="33">
    <mergeCell ref="I58:K58"/>
    <mergeCell ref="I59:I75"/>
    <mergeCell ref="J59:K59"/>
    <mergeCell ref="I38:I54"/>
    <mergeCell ref="W37:W40"/>
    <mergeCell ref="X37:Y37"/>
    <mergeCell ref="J38:K38"/>
    <mergeCell ref="L39:L44"/>
    <mergeCell ref="R10:T10"/>
    <mergeCell ref="I37:K37"/>
    <mergeCell ref="N37:N40"/>
    <mergeCell ref="O37:P37"/>
    <mergeCell ref="R37:R40"/>
    <mergeCell ref="S37:U37"/>
    <mergeCell ref="I10:I13"/>
    <mergeCell ref="J10:K10"/>
    <mergeCell ref="M10:M13"/>
    <mergeCell ref="N10:O10"/>
    <mergeCell ref="Q10:Q13"/>
    <mergeCell ref="N24:Q24"/>
    <mergeCell ref="S24:S27"/>
    <mergeCell ref="T24:U24"/>
    <mergeCell ref="I17:I20"/>
    <mergeCell ref="J17:K17"/>
    <mergeCell ref="M17:M20"/>
    <mergeCell ref="N17:O17"/>
    <mergeCell ref="Q17:Q20"/>
    <mergeCell ref="R17:V17"/>
    <mergeCell ref="I29:I32"/>
    <mergeCell ref="J29:L29"/>
    <mergeCell ref="I24:I27"/>
    <mergeCell ref="J24:K24"/>
    <mergeCell ref="M24:M27"/>
  </mergeCells>
  <pageMargins left="0.7" right="0.7" top="0.75" bottom="0.75" header="0.3" footer="0.3"/>
  <pageSetup paperSize="9" orientation="portrait" r:id="rId1"/>
  <ignoredErrors>
    <ignoredError sqref="J6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B73"/>
  <sheetViews>
    <sheetView zoomScale="85" zoomScaleNormal="85" workbookViewId="0">
      <selection activeCell="Y4" sqref="Y4:Z5"/>
    </sheetView>
  </sheetViews>
  <sheetFormatPr defaultRowHeight="15" x14ac:dyDescent="0.25"/>
  <cols>
    <col min="3" max="3" width="9.140625" style="27"/>
    <col min="4" max="4" width="10.7109375" style="27" customWidth="1"/>
    <col min="5" max="10" width="9.140625" style="27"/>
    <col min="15" max="15" width="9.140625" style="5"/>
    <col min="24" max="24" width="9.140625" style="34"/>
    <col min="25" max="25" width="9.140625" style="27"/>
    <col min="26" max="26" width="9.140625" style="5"/>
  </cols>
  <sheetData>
    <row r="1" spans="2:28" x14ac:dyDescent="0.25">
      <c r="K1" s="27"/>
    </row>
    <row r="2" spans="2:28" x14ac:dyDescent="0.25">
      <c r="B2" t="s">
        <v>35</v>
      </c>
      <c r="C2" s="27">
        <v>1.1000000000000001</v>
      </c>
      <c r="D2" s="27">
        <v>1.5</v>
      </c>
      <c r="E2" s="5">
        <v>1.1000000000000001</v>
      </c>
      <c r="F2" s="27">
        <v>1.5</v>
      </c>
      <c r="G2" s="27">
        <v>1.5</v>
      </c>
      <c r="H2" s="27">
        <v>1.5</v>
      </c>
      <c r="I2" s="27">
        <v>1.1000000000000001</v>
      </c>
      <c r="J2" s="27">
        <v>1.1000000000000001</v>
      </c>
      <c r="K2" s="27">
        <v>1.1000000000000001</v>
      </c>
      <c r="L2" s="25">
        <f>SUM(C2:K2)</f>
        <v>11.499999999999998</v>
      </c>
      <c r="M2" s="27"/>
      <c r="N2" s="27"/>
      <c r="O2"/>
      <c r="X2"/>
      <c r="Y2"/>
      <c r="Z2"/>
    </row>
    <row r="3" spans="2:28" x14ac:dyDescent="0.25">
      <c r="C3" s="27" t="s">
        <v>65</v>
      </c>
      <c r="D3" s="27" t="s">
        <v>65</v>
      </c>
      <c r="E3" s="5" t="s">
        <v>65</v>
      </c>
      <c r="F3" s="27" t="s">
        <v>65</v>
      </c>
      <c r="G3" s="27" t="s">
        <v>65</v>
      </c>
      <c r="H3" s="27" t="s">
        <v>65</v>
      </c>
      <c r="I3" s="27" t="s">
        <v>65</v>
      </c>
      <c r="J3" s="27" t="s">
        <v>66</v>
      </c>
      <c r="K3" s="27" t="s">
        <v>65</v>
      </c>
      <c r="L3" s="27"/>
      <c r="M3" s="27"/>
      <c r="N3" s="27"/>
      <c r="O3"/>
      <c r="Y3" s="39" t="s">
        <v>97</v>
      </c>
    </row>
    <row r="4" spans="2:28" x14ac:dyDescent="0.25">
      <c r="C4" s="27" t="s">
        <v>65</v>
      </c>
      <c r="D4" s="27" t="s">
        <v>65</v>
      </c>
      <c r="E4" s="5" t="s">
        <v>65</v>
      </c>
      <c r="F4" s="27" t="s">
        <v>65</v>
      </c>
      <c r="G4" s="27" t="s">
        <v>65</v>
      </c>
      <c r="H4" s="27" t="s">
        <v>65</v>
      </c>
      <c r="I4" s="27" t="s">
        <v>65</v>
      </c>
      <c r="J4" s="27" t="s">
        <v>66</v>
      </c>
      <c r="K4" s="27" t="s">
        <v>65</v>
      </c>
      <c r="L4" s="27"/>
      <c r="M4" s="27"/>
      <c r="N4" s="27"/>
      <c r="O4"/>
      <c r="X4" s="47" t="s">
        <v>32</v>
      </c>
      <c r="Y4" s="37">
        <v>101</v>
      </c>
      <c r="Z4" s="40">
        <f>P38+S38</f>
        <v>101</v>
      </c>
    </row>
    <row r="5" spans="2:28" x14ac:dyDescent="0.25">
      <c r="D5"/>
      <c r="E5" s="5"/>
      <c r="K5" s="27"/>
      <c r="L5" s="27"/>
      <c r="M5" s="27"/>
      <c r="N5" s="27"/>
      <c r="O5"/>
      <c r="X5" s="47" t="s">
        <v>31</v>
      </c>
      <c r="Y5" s="37">
        <v>101</v>
      </c>
      <c r="Z5" s="40">
        <f>O38+T38</f>
        <v>101</v>
      </c>
    </row>
    <row r="6" spans="2:28" x14ac:dyDescent="0.25">
      <c r="B6" t="s">
        <v>34</v>
      </c>
      <c r="C6" s="27">
        <v>1.59</v>
      </c>
      <c r="E6" s="28">
        <f>SUM(C6:D6)</f>
        <v>1.59</v>
      </c>
      <c r="K6" s="27"/>
      <c r="L6" s="27"/>
      <c r="M6" s="27"/>
      <c r="N6" s="27"/>
      <c r="O6"/>
      <c r="X6" s="47" t="s">
        <v>59</v>
      </c>
      <c r="Y6" s="39">
        <v>104.37</v>
      </c>
      <c r="Z6" s="5">
        <f>K53+Y39</f>
        <v>99.36</v>
      </c>
      <c r="AA6" s="43"/>
      <c r="AB6" s="43"/>
    </row>
    <row r="7" spans="2:28" x14ac:dyDescent="0.25">
      <c r="C7" s="27" t="s">
        <v>57</v>
      </c>
      <c r="E7" s="5"/>
      <c r="K7" s="27"/>
      <c r="L7" s="27"/>
      <c r="M7" s="27"/>
      <c r="N7" s="27"/>
      <c r="O7"/>
      <c r="X7" s="47" t="s">
        <v>60</v>
      </c>
      <c r="Y7" s="39">
        <v>50.26</v>
      </c>
      <c r="Z7" s="5">
        <f>J73</f>
        <v>47.680000000000007</v>
      </c>
      <c r="AA7" s="43"/>
      <c r="AB7" s="43"/>
    </row>
    <row r="8" spans="2:28" x14ac:dyDescent="0.25">
      <c r="C8" s="27" t="s">
        <v>64</v>
      </c>
      <c r="E8" s="5"/>
      <c r="K8" s="27"/>
      <c r="L8" s="27"/>
      <c r="M8" s="27"/>
      <c r="N8" s="27"/>
      <c r="O8"/>
      <c r="X8" s="43"/>
      <c r="Y8" s="43"/>
      <c r="Z8" s="43"/>
      <c r="AA8" s="43"/>
      <c r="AB8" s="43"/>
    </row>
    <row r="9" spans="2:28" x14ac:dyDescent="0.25">
      <c r="X9" s="41"/>
      <c r="Y9" s="12" t="s">
        <v>97</v>
      </c>
      <c r="Z9" s="42"/>
      <c r="AA9" s="43"/>
      <c r="AB9" s="43"/>
    </row>
    <row r="10" spans="2:28" x14ac:dyDescent="0.25">
      <c r="B10" t="s">
        <v>57</v>
      </c>
      <c r="C10" s="26">
        <v>7</v>
      </c>
      <c r="D10" s="27" t="s">
        <v>56</v>
      </c>
      <c r="E10" s="27">
        <v>3.53</v>
      </c>
      <c r="I10" s="76" t="s">
        <v>33</v>
      </c>
      <c r="J10" s="78">
        <v>11</v>
      </c>
      <c r="K10" s="78"/>
      <c r="L10" s="30" t="s">
        <v>67</v>
      </c>
      <c r="M10" s="76" t="s">
        <v>39</v>
      </c>
      <c r="N10" s="78">
        <f>9*4</f>
        <v>36</v>
      </c>
      <c r="O10" s="78"/>
      <c r="P10" t="s">
        <v>67</v>
      </c>
      <c r="Q10" s="76" t="s">
        <v>29</v>
      </c>
      <c r="R10" s="78">
        <f>11*3</f>
        <v>33</v>
      </c>
      <c r="S10" s="78"/>
      <c r="T10" s="78"/>
      <c r="U10" t="s">
        <v>67</v>
      </c>
      <c r="X10" s="41">
        <v>1</v>
      </c>
      <c r="Y10" s="32">
        <v>11</v>
      </c>
      <c r="Z10" s="29">
        <f>D22+C10+C11</f>
        <v>11</v>
      </c>
      <c r="AA10" s="12">
        <f>U20+P27+D22</f>
        <v>11</v>
      </c>
      <c r="AB10" s="43"/>
    </row>
    <row r="11" spans="2:28" ht="18" customHeight="1" x14ac:dyDescent="0.25">
      <c r="B11" t="s">
        <v>64</v>
      </c>
      <c r="C11" s="26">
        <v>4</v>
      </c>
      <c r="D11" s="27" t="s">
        <v>56</v>
      </c>
      <c r="E11" s="27">
        <v>3.24</v>
      </c>
      <c r="I11" s="76"/>
      <c r="J11" s="9" t="s">
        <v>4</v>
      </c>
      <c r="K11" s="9" t="s">
        <v>5</v>
      </c>
      <c r="L11" s="9"/>
      <c r="M11" s="76"/>
      <c r="N11" s="9" t="s">
        <v>4</v>
      </c>
      <c r="O11" s="9" t="s">
        <v>49</v>
      </c>
      <c r="Q11" s="76"/>
      <c r="R11" s="9" t="s">
        <v>4</v>
      </c>
      <c r="S11" s="9" t="s">
        <v>30</v>
      </c>
      <c r="T11" s="9" t="s">
        <v>5</v>
      </c>
      <c r="X11" s="41">
        <v>2</v>
      </c>
      <c r="Y11" s="32">
        <v>18</v>
      </c>
      <c r="Z11" s="32">
        <f>C12+C13</f>
        <v>18</v>
      </c>
      <c r="AA11" s="12">
        <f>V20+L32</f>
        <v>18</v>
      </c>
      <c r="AB11" s="43"/>
    </row>
    <row r="12" spans="2:28" x14ac:dyDescent="0.25">
      <c r="B12" t="s">
        <v>65</v>
      </c>
      <c r="C12" s="26">
        <v>16</v>
      </c>
      <c r="D12" s="27" t="s">
        <v>53</v>
      </c>
      <c r="E12" s="27">
        <v>3.24</v>
      </c>
      <c r="I12" s="76"/>
      <c r="J12" s="5">
        <v>1</v>
      </c>
      <c r="K12" s="27">
        <v>1</v>
      </c>
      <c r="M12" s="76"/>
      <c r="N12" s="5">
        <v>2</v>
      </c>
      <c r="O12" s="27"/>
      <c r="Q12" s="76"/>
      <c r="R12" s="5">
        <v>1</v>
      </c>
      <c r="S12" s="5">
        <v>1</v>
      </c>
      <c r="T12" s="5">
        <v>1</v>
      </c>
      <c r="X12" s="41" t="s">
        <v>4</v>
      </c>
      <c r="Y12" s="32">
        <v>113</v>
      </c>
      <c r="Z12" s="32">
        <f>J13+N13+R13+J20</f>
        <v>113</v>
      </c>
      <c r="AA12" s="43"/>
      <c r="AB12" s="43"/>
    </row>
    <row r="13" spans="2:28" x14ac:dyDescent="0.25">
      <c r="B13" t="s">
        <v>66</v>
      </c>
      <c r="C13" s="26">
        <v>2</v>
      </c>
      <c r="D13" s="27" t="s">
        <v>53</v>
      </c>
      <c r="E13" s="27">
        <v>3.53</v>
      </c>
      <c r="I13" s="76"/>
      <c r="J13" s="18">
        <f>J12*J10</f>
        <v>11</v>
      </c>
      <c r="K13" s="9">
        <f>K12*J10</f>
        <v>11</v>
      </c>
      <c r="M13" s="76"/>
      <c r="N13" s="18">
        <f>(N12*N10)-4-4+D37+D21</f>
        <v>68</v>
      </c>
      <c r="O13" s="27"/>
      <c r="Q13" s="76"/>
      <c r="R13" s="18">
        <f>R12*R10</f>
        <v>33</v>
      </c>
      <c r="S13" s="18">
        <f>S12*R10</f>
        <v>33</v>
      </c>
      <c r="T13" s="18">
        <f>T12*R10</f>
        <v>33</v>
      </c>
      <c r="X13" s="41" t="s">
        <v>41</v>
      </c>
      <c r="Y13" s="32">
        <v>11</v>
      </c>
      <c r="Z13" s="32">
        <f>R20+N27</f>
        <v>11</v>
      </c>
      <c r="AA13" s="43"/>
      <c r="AB13" s="43"/>
    </row>
    <row r="14" spans="2:28" x14ac:dyDescent="0.25">
      <c r="N14" t="s">
        <v>93</v>
      </c>
      <c r="X14" s="41" t="s">
        <v>58</v>
      </c>
      <c r="Y14" s="32">
        <v>18</v>
      </c>
      <c r="Z14" s="32">
        <f>S20+O27</f>
        <v>18</v>
      </c>
      <c r="AA14" s="43"/>
      <c r="AB14" s="43"/>
    </row>
    <row r="15" spans="2:28" x14ac:dyDescent="0.25">
      <c r="B15" t="s">
        <v>63</v>
      </c>
      <c r="C15" s="27" t="s">
        <v>69</v>
      </c>
      <c r="D15" s="27" t="s">
        <v>71</v>
      </c>
      <c r="E15" s="11">
        <f>C10+C11+D22</f>
        <v>11</v>
      </c>
      <c r="X15" s="41" t="s">
        <v>30</v>
      </c>
      <c r="Y15" s="45">
        <v>27</v>
      </c>
      <c r="Z15" s="45">
        <f>S13</f>
        <v>33</v>
      </c>
      <c r="AA15" s="46" t="s">
        <v>96</v>
      </c>
      <c r="AB15" s="43"/>
    </row>
    <row r="16" spans="2:28" x14ac:dyDescent="0.25">
      <c r="B16" t="s">
        <v>63</v>
      </c>
      <c r="C16" s="27" t="s">
        <v>70</v>
      </c>
      <c r="D16" s="27" t="s">
        <v>72</v>
      </c>
      <c r="E16" s="9">
        <f>C12+C13</f>
        <v>18</v>
      </c>
      <c r="X16" s="41" t="s">
        <v>37</v>
      </c>
      <c r="Y16" s="32">
        <v>26</v>
      </c>
      <c r="Z16" s="32">
        <f>N20+T27</f>
        <v>26</v>
      </c>
      <c r="AA16" s="43">
        <f>C10+C11+C12+C13</f>
        <v>29</v>
      </c>
      <c r="AB16" s="43">
        <f>Z16+Z17</f>
        <v>29</v>
      </c>
    </row>
    <row r="17" spans="2:28" x14ac:dyDescent="0.25">
      <c r="I17" s="76" t="s">
        <v>84</v>
      </c>
      <c r="J17" s="78">
        <v>1</v>
      </c>
      <c r="K17" s="78"/>
      <c r="L17" s="30" t="s">
        <v>67</v>
      </c>
      <c r="M17" s="76" t="s">
        <v>36</v>
      </c>
      <c r="N17" s="78">
        <v>7</v>
      </c>
      <c r="O17" s="78"/>
      <c r="Q17" s="76" t="s">
        <v>40</v>
      </c>
      <c r="R17" s="78">
        <v>7</v>
      </c>
      <c r="S17" s="78"/>
      <c r="T17" s="78"/>
      <c r="U17" s="78"/>
      <c r="V17" s="78"/>
      <c r="X17" s="41" t="s">
        <v>48</v>
      </c>
      <c r="Y17" s="32">
        <v>3</v>
      </c>
      <c r="Z17" s="32">
        <f>J27</f>
        <v>3</v>
      </c>
      <c r="AA17" s="43"/>
      <c r="AB17" s="43"/>
    </row>
    <row r="18" spans="2:28" ht="27" x14ac:dyDescent="0.25">
      <c r="B18" t="s">
        <v>62</v>
      </c>
      <c r="C18" s="27">
        <v>0</v>
      </c>
      <c r="D18" s="27" t="s">
        <v>87</v>
      </c>
      <c r="I18" s="76"/>
      <c r="J18" s="9" t="s">
        <v>4</v>
      </c>
      <c r="K18" s="9" t="s">
        <v>49</v>
      </c>
      <c r="L18" s="9"/>
      <c r="M18" s="76"/>
      <c r="N18" s="9" t="s">
        <v>37</v>
      </c>
      <c r="O18" s="9" t="s">
        <v>38</v>
      </c>
      <c r="Q18" s="76"/>
      <c r="R18" s="16" t="s">
        <v>43</v>
      </c>
      <c r="S18" s="16" t="s">
        <v>42</v>
      </c>
      <c r="T18" s="9" t="s">
        <v>5</v>
      </c>
      <c r="U18" s="16" t="s">
        <v>44</v>
      </c>
      <c r="V18" s="16" t="s">
        <v>45</v>
      </c>
      <c r="X18" s="44" t="s">
        <v>89</v>
      </c>
      <c r="Y18" s="32">
        <v>0</v>
      </c>
      <c r="Z18" s="32">
        <f>J32</f>
        <v>0</v>
      </c>
      <c r="AA18" s="43"/>
      <c r="AB18" s="43"/>
    </row>
    <row r="19" spans="2:28" x14ac:dyDescent="0.25">
      <c r="B19" t="s">
        <v>77</v>
      </c>
      <c r="C19" s="27">
        <v>1</v>
      </c>
      <c r="D19" s="27">
        <f>C19*C18</f>
        <v>0</v>
      </c>
      <c r="I19" s="76"/>
      <c r="J19" s="5">
        <v>1</v>
      </c>
      <c r="K19" s="5"/>
      <c r="L19" s="5"/>
      <c r="M19" s="76"/>
      <c r="N19" s="5">
        <f>1</f>
        <v>1</v>
      </c>
      <c r="O19" s="5">
        <v>4</v>
      </c>
      <c r="Q19" s="76"/>
      <c r="R19" s="5">
        <v>1</v>
      </c>
      <c r="S19" s="5">
        <v>1</v>
      </c>
      <c r="T19" s="5">
        <v>1</v>
      </c>
      <c r="U19" s="5">
        <f>R19</f>
        <v>1</v>
      </c>
      <c r="V19" s="5">
        <f>S19</f>
        <v>1</v>
      </c>
      <c r="X19" s="41" t="s">
        <v>5</v>
      </c>
      <c r="Y19" s="45">
        <v>64</v>
      </c>
      <c r="Z19" s="45">
        <f>K13+T13+K20+T20+K32</f>
        <v>70</v>
      </c>
      <c r="AA19" s="46" t="s">
        <v>96</v>
      </c>
      <c r="AB19" s="43"/>
    </row>
    <row r="20" spans="2:28" x14ac:dyDescent="0.25">
      <c r="B20" t="s">
        <v>78</v>
      </c>
      <c r="C20" s="27">
        <v>1</v>
      </c>
      <c r="D20" s="27">
        <f>C20*C18</f>
        <v>0</v>
      </c>
      <c r="I20" s="76"/>
      <c r="J20" s="18">
        <f>J19*J17</f>
        <v>1</v>
      </c>
      <c r="K20" s="18"/>
      <c r="L20" s="18"/>
      <c r="M20" s="76"/>
      <c r="N20" s="18">
        <f>N19*N17+(X25*X22)+(X27*X31)+(D26*N19)+D30*N19+D41*N19+D46*N19+D50*N19+D55*N19</f>
        <v>25</v>
      </c>
      <c r="O20" s="18">
        <f>N20*O19</f>
        <v>100</v>
      </c>
      <c r="Q20" s="76"/>
      <c r="R20" s="9">
        <f>R19*R17+D19*R19+D33*R19</f>
        <v>8</v>
      </c>
      <c r="S20" s="9">
        <f>S19*D25+D29*S19+D40*S19+D44*S19+D50*S19+D53*S19</f>
        <v>18</v>
      </c>
      <c r="T20" s="9">
        <f>(R20+S20)*T19</f>
        <v>26</v>
      </c>
      <c r="U20" s="9">
        <f>R20*U19</f>
        <v>8</v>
      </c>
      <c r="V20" s="9">
        <f>S20*V19</f>
        <v>18</v>
      </c>
      <c r="X20" s="41" t="s">
        <v>38</v>
      </c>
      <c r="Y20" s="32">
        <v>104</v>
      </c>
      <c r="Z20" s="32">
        <f>O20+U27</f>
        <v>104</v>
      </c>
      <c r="AA20" s="43"/>
      <c r="AB20" s="43"/>
    </row>
    <row r="21" spans="2:28" x14ac:dyDescent="0.25">
      <c r="B21" t="s">
        <v>79</v>
      </c>
      <c r="C21" s="27">
        <v>1</v>
      </c>
      <c r="D21" s="27">
        <f>C21*C18</f>
        <v>0</v>
      </c>
      <c r="F21" s="27" t="s">
        <v>92</v>
      </c>
      <c r="X21" s="41"/>
      <c r="Y21" s="12"/>
      <c r="Z21" s="42"/>
      <c r="AA21" s="43"/>
      <c r="AB21" s="43"/>
    </row>
    <row r="22" spans="2:28" x14ac:dyDescent="0.25">
      <c r="B22" t="s">
        <v>69</v>
      </c>
      <c r="C22" s="27">
        <v>1</v>
      </c>
      <c r="D22" s="26">
        <f>C22*C18</f>
        <v>0</v>
      </c>
      <c r="X22" s="41"/>
      <c r="Y22" s="12"/>
      <c r="Z22" s="42"/>
      <c r="AA22" s="43"/>
      <c r="AB22" s="43"/>
    </row>
    <row r="23" spans="2:28" x14ac:dyDescent="0.25">
      <c r="X23" s="41"/>
      <c r="Y23" s="12"/>
      <c r="Z23" s="42"/>
      <c r="AA23" s="43"/>
      <c r="AB23" s="43"/>
    </row>
    <row r="24" spans="2:28" x14ac:dyDescent="0.25">
      <c r="B24" t="s">
        <v>52</v>
      </c>
      <c r="C24" s="27">
        <v>5</v>
      </c>
      <c r="D24" s="27" t="s">
        <v>85</v>
      </c>
      <c r="I24" s="76" t="s">
        <v>47</v>
      </c>
      <c r="J24" s="78">
        <v>2</v>
      </c>
      <c r="K24" s="78"/>
      <c r="L24" t="s">
        <v>67</v>
      </c>
      <c r="M24" s="76" t="s">
        <v>50</v>
      </c>
      <c r="N24" s="78">
        <v>2</v>
      </c>
      <c r="O24" s="78"/>
      <c r="P24" s="78"/>
      <c r="Q24" s="78"/>
      <c r="R24" s="31" t="s">
        <v>67</v>
      </c>
      <c r="S24" s="76" t="s">
        <v>55</v>
      </c>
      <c r="T24" s="78"/>
      <c r="U24" s="78"/>
    </row>
    <row r="25" spans="2:28" ht="27" x14ac:dyDescent="0.25">
      <c r="B25" s="21" t="s">
        <v>77</v>
      </c>
      <c r="C25" s="27">
        <v>2</v>
      </c>
      <c r="D25" s="27">
        <f>C25*C24</f>
        <v>10</v>
      </c>
      <c r="I25" s="76"/>
      <c r="J25" s="9" t="s">
        <v>48</v>
      </c>
      <c r="K25" s="9" t="s">
        <v>49</v>
      </c>
      <c r="M25" s="76"/>
      <c r="N25" s="16" t="s">
        <v>43</v>
      </c>
      <c r="O25" s="16" t="s">
        <v>42</v>
      </c>
      <c r="P25" s="16" t="s">
        <v>44</v>
      </c>
      <c r="Q25" s="16" t="s">
        <v>45</v>
      </c>
      <c r="R25" s="16"/>
      <c r="S25" s="76"/>
      <c r="T25" s="9" t="s">
        <v>37</v>
      </c>
      <c r="U25" s="9" t="s">
        <v>38</v>
      </c>
    </row>
    <row r="26" spans="2:28" x14ac:dyDescent="0.25">
      <c r="B26" s="21" t="s">
        <v>80</v>
      </c>
      <c r="C26" s="27">
        <v>2</v>
      </c>
      <c r="D26" s="27">
        <f>C26*C24</f>
        <v>10</v>
      </c>
      <c r="I26" s="76"/>
      <c r="J26" s="5">
        <v>1</v>
      </c>
      <c r="M26" s="76"/>
      <c r="N26" s="5">
        <v>1</v>
      </c>
      <c r="O26" s="5" t="s">
        <v>27</v>
      </c>
      <c r="P26" s="5">
        <f>N26</f>
        <v>1</v>
      </c>
      <c r="Q26" s="5" t="s">
        <v>27</v>
      </c>
      <c r="R26" s="5"/>
      <c r="S26" s="76"/>
      <c r="T26" s="5">
        <v>1</v>
      </c>
      <c r="U26" s="5">
        <f>T26*4</f>
        <v>4</v>
      </c>
    </row>
    <row r="27" spans="2:28" x14ac:dyDescent="0.25">
      <c r="I27" s="76"/>
      <c r="J27" s="18">
        <f>J26*J24+D36*J26</f>
        <v>3</v>
      </c>
      <c r="M27" s="76"/>
      <c r="N27" s="9">
        <f>N26*N24+D34*N26</f>
        <v>3</v>
      </c>
      <c r="O27" s="9"/>
      <c r="P27" s="9">
        <f>N27*P26</f>
        <v>3</v>
      </c>
      <c r="S27" s="76"/>
      <c r="T27" s="18">
        <f>D20*T26+D35*T26</f>
        <v>1</v>
      </c>
      <c r="U27" s="18">
        <f>T27*U26</f>
        <v>4</v>
      </c>
    </row>
    <row r="28" spans="2:28" x14ac:dyDescent="0.25">
      <c r="B28" t="s">
        <v>51</v>
      </c>
      <c r="C28" s="27">
        <v>4</v>
      </c>
      <c r="D28" s="27" t="s">
        <v>85</v>
      </c>
    </row>
    <row r="29" spans="2:28" x14ac:dyDescent="0.25">
      <c r="B29" t="s">
        <v>77</v>
      </c>
      <c r="C29" s="27">
        <v>2</v>
      </c>
      <c r="D29" s="27">
        <f>C29*C28</f>
        <v>8</v>
      </c>
      <c r="I29" s="76" t="s">
        <v>88</v>
      </c>
      <c r="J29" s="81"/>
      <c r="K29" s="81"/>
      <c r="L29" s="81"/>
    </row>
    <row r="30" spans="2:28" x14ac:dyDescent="0.25">
      <c r="B30" t="s">
        <v>80</v>
      </c>
      <c r="C30" s="27">
        <v>2</v>
      </c>
      <c r="D30" s="27">
        <f>C30*C28</f>
        <v>8</v>
      </c>
      <c r="I30" s="76"/>
      <c r="J30" s="18" t="s">
        <v>89</v>
      </c>
      <c r="K30" s="18" t="s">
        <v>5</v>
      </c>
      <c r="L30" s="18">
        <v>2</v>
      </c>
    </row>
    <row r="31" spans="2:28" x14ac:dyDescent="0.25">
      <c r="I31" s="76"/>
      <c r="J31" s="5">
        <v>2</v>
      </c>
      <c r="K31" s="5">
        <v>2</v>
      </c>
      <c r="L31" s="5">
        <v>1</v>
      </c>
    </row>
    <row r="32" spans="2:28" x14ac:dyDescent="0.25">
      <c r="B32" t="s">
        <v>54</v>
      </c>
      <c r="C32" s="27">
        <v>1</v>
      </c>
      <c r="D32" s="33" t="s">
        <v>86</v>
      </c>
      <c r="I32" s="76"/>
      <c r="J32" s="9">
        <f>J31*D45+D54*J31</f>
        <v>0</v>
      </c>
      <c r="K32" s="9">
        <f>D45*K31+D54*K31</f>
        <v>0</v>
      </c>
      <c r="L32" s="9">
        <f>D45*L31+D54*L31</f>
        <v>0</v>
      </c>
    </row>
    <row r="33" spans="2:26" x14ac:dyDescent="0.25">
      <c r="B33" t="s">
        <v>77</v>
      </c>
      <c r="C33" s="27">
        <v>1</v>
      </c>
      <c r="D33" s="27">
        <f>C33*C32</f>
        <v>1</v>
      </c>
    </row>
    <row r="34" spans="2:26" x14ac:dyDescent="0.25">
      <c r="B34" t="s">
        <v>81</v>
      </c>
      <c r="C34" s="27">
        <v>1</v>
      </c>
      <c r="D34" s="27">
        <f>C34*C32</f>
        <v>1</v>
      </c>
    </row>
    <row r="35" spans="2:26" x14ac:dyDescent="0.25">
      <c r="B35" t="s">
        <v>78</v>
      </c>
      <c r="C35" s="27">
        <v>1</v>
      </c>
      <c r="D35" s="27">
        <f>C35*C32</f>
        <v>1</v>
      </c>
      <c r="I35" s="76"/>
      <c r="J35" s="76"/>
      <c r="K35" s="76"/>
      <c r="N35" s="76" t="s">
        <v>39</v>
      </c>
      <c r="O35" s="78"/>
      <c r="P35" s="78"/>
      <c r="R35" s="76" t="s">
        <v>29</v>
      </c>
      <c r="S35" s="78"/>
      <c r="T35" s="78"/>
      <c r="U35" s="78"/>
      <c r="W35" s="76" t="s">
        <v>84</v>
      </c>
      <c r="X35" s="78"/>
      <c r="Y35" s="78"/>
      <c r="Z35" s="39"/>
    </row>
    <row r="36" spans="2:26" x14ac:dyDescent="0.25">
      <c r="B36" t="s">
        <v>82</v>
      </c>
      <c r="C36" s="27">
        <v>1</v>
      </c>
      <c r="D36" s="27">
        <f>C36*C32</f>
        <v>1</v>
      </c>
      <c r="I36" s="76" t="s">
        <v>33</v>
      </c>
      <c r="J36" s="79" t="s">
        <v>99</v>
      </c>
      <c r="K36" s="79"/>
      <c r="N36" s="76"/>
      <c r="O36" s="9" t="s">
        <v>31</v>
      </c>
      <c r="P36" s="9" t="s">
        <v>32</v>
      </c>
      <c r="R36" s="76"/>
      <c r="S36" s="9" t="s">
        <v>32</v>
      </c>
      <c r="T36" s="9" t="s">
        <v>31</v>
      </c>
      <c r="U36" s="9"/>
      <c r="W36" s="76"/>
      <c r="X36" s="9" t="s">
        <v>59</v>
      </c>
      <c r="Y36" s="9"/>
      <c r="Z36" s="39"/>
    </row>
    <row r="37" spans="2:26" x14ac:dyDescent="0.25">
      <c r="B37" t="s">
        <v>79</v>
      </c>
      <c r="C37" s="27">
        <v>4</v>
      </c>
      <c r="D37" s="27">
        <f>C37*C32</f>
        <v>4</v>
      </c>
      <c r="F37" s="27" t="s">
        <v>92</v>
      </c>
      <c r="I37" s="76"/>
      <c r="J37" s="5">
        <v>1.28</v>
      </c>
      <c r="K37" s="5">
        <f t="shared" ref="K37:K52" si="0">J37*3</f>
        <v>3.84</v>
      </c>
      <c r="L37" s="80" t="s">
        <v>100</v>
      </c>
      <c r="N37" s="76"/>
      <c r="O37" s="5">
        <v>2</v>
      </c>
      <c r="P37" s="39">
        <v>2</v>
      </c>
      <c r="R37" s="76"/>
      <c r="S37" s="5">
        <v>1</v>
      </c>
      <c r="T37" s="5">
        <v>1</v>
      </c>
      <c r="U37" s="5"/>
      <c r="W37" s="76"/>
      <c r="X37" s="5">
        <v>0.48</v>
      </c>
      <c r="Y37" s="5">
        <f>X37*3</f>
        <v>1.44</v>
      </c>
      <c r="Z37" s="39"/>
    </row>
    <row r="38" spans="2:26" x14ac:dyDescent="0.25">
      <c r="I38" s="76"/>
      <c r="J38" s="5">
        <v>1.28</v>
      </c>
      <c r="K38" s="5">
        <f t="shared" si="0"/>
        <v>3.84</v>
      </c>
      <c r="L38" s="80"/>
      <c r="N38" s="76"/>
      <c r="O38" s="18">
        <f>(N12*N10)-4-4+D37+D21</f>
        <v>68</v>
      </c>
      <c r="P38" s="9">
        <f>O38</f>
        <v>68</v>
      </c>
      <c r="R38" s="76"/>
      <c r="S38" s="18">
        <f>R12*R10</f>
        <v>33</v>
      </c>
      <c r="T38" s="18">
        <f>S38</f>
        <v>33</v>
      </c>
      <c r="U38" s="18"/>
      <c r="W38" s="76"/>
      <c r="X38" s="49">
        <v>2.74</v>
      </c>
      <c r="Y38" s="49">
        <f>X38*3</f>
        <v>8.2200000000000006</v>
      </c>
      <c r="Z38" s="39"/>
    </row>
    <row r="39" spans="2:26" x14ac:dyDescent="0.25">
      <c r="B39" t="s">
        <v>73</v>
      </c>
      <c r="C39" s="27">
        <v>0</v>
      </c>
      <c r="D39" s="27" t="s">
        <v>85</v>
      </c>
      <c r="I39" s="76"/>
      <c r="J39" s="39">
        <v>4.34</v>
      </c>
      <c r="K39" s="39">
        <f t="shared" si="0"/>
        <v>13.02</v>
      </c>
      <c r="L39" s="80"/>
      <c r="O39"/>
      <c r="P39" s="5"/>
      <c r="X39"/>
      <c r="Y39" s="9">
        <f>SUM(Y37:Y38)</f>
        <v>9.66</v>
      </c>
      <c r="Z39" s="39"/>
    </row>
    <row r="40" spans="2:26" x14ac:dyDescent="0.25">
      <c r="B40" t="s">
        <v>77</v>
      </c>
      <c r="C40" s="27">
        <v>2</v>
      </c>
      <c r="D40" s="27">
        <f>C40*C39</f>
        <v>0</v>
      </c>
      <c r="I40" s="76"/>
      <c r="J40" s="5">
        <v>5.6</v>
      </c>
      <c r="K40" s="39">
        <f t="shared" si="0"/>
        <v>16.799999999999997</v>
      </c>
      <c r="L40" s="80"/>
      <c r="O40"/>
      <c r="P40" s="5"/>
      <c r="X40"/>
      <c r="Y40" s="34"/>
      <c r="Z40" s="39"/>
    </row>
    <row r="41" spans="2:26" x14ac:dyDescent="0.25">
      <c r="B41" t="s">
        <v>80</v>
      </c>
      <c r="C41" s="27">
        <v>2</v>
      </c>
      <c r="D41" s="27">
        <f>C41*C39</f>
        <v>0</v>
      </c>
      <c r="I41" s="76"/>
      <c r="J41" s="39">
        <v>5.6</v>
      </c>
      <c r="K41" s="39">
        <f t="shared" si="0"/>
        <v>16.799999999999997</v>
      </c>
      <c r="L41" s="80"/>
      <c r="O41"/>
      <c r="P41" s="5"/>
      <c r="X41"/>
      <c r="Y41" s="34"/>
      <c r="Z41" s="39"/>
    </row>
    <row r="42" spans="2:26" x14ac:dyDescent="0.25">
      <c r="I42" s="76"/>
      <c r="J42" s="39">
        <v>3.64</v>
      </c>
      <c r="K42" s="39">
        <f t="shared" si="0"/>
        <v>10.92</v>
      </c>
      <c r="L42" s="80"/>
      <c r="O42"/>
      <c r="P42" s="5"/>
      <c r="X42"/>
      <c r="Y42" s="34"/>
      <c r="Z42" s="39"/>
    </row>
    <row r="43" spans="2:26" x14ac:dyDescent="0.25">
      <c r="B43" t="s">
        <v>74</v>
      </c>
      <c r="C43" s="27">
        <v>0</v>
      </c>
      <c r="D43" s="27" t="s">
        <v>85</v>
      </c>
      <c r="I43" s="76"/>
      <c r="J43" s="39">
        <v>1.4</v>
      </c>
      <c r="K43" s="39">
        <f t="shared" si="0"/>
        <v>4.1999999999999993</v>
      </c>
      <c r="O43"/>
      <c r="P43" s="5"/>
      <c r="X43"/>
      <c r="Y43" s="34"/>
      <c r="Z43" s="39"/>
    </row>
    <row r="44" spans="2:26" x14ac:dyDescent="0.25">
      <c r="B44" t="s">
        <v>77</v>
      </c>
      <c r="C44" s="27">
        <v>1</v>
      </c>
      <c r="D44" s="27">
        <f>C44*C43</f>
        <v>0</v>
      </c>
      <c r="I44" s="76"/>
      <c r="J44" s="39">
        <v>2.66</v>
      </c>
      <c r="K44" s="39">
        <f t="shared" si="0"/>
        <v>7.98</v>
      </c>
      <c r="O44"/>
      <c r="P44" s="5"/>
      <c r="X44"/>
      <c r="Y44" s="34"/>
      <c r="Z44" s="39"/>
    </row>
    <row r="45" spans="2:26" x14ac:dyDescent="0.25">
      <c r="B45" t="s">
        <v>83</v>
      </c>
      <c r="C45" s="27">
        <v>1</v>
      </c>
      <c r="D45" s="27">
        <f>C45*C43</f>
        <v>0</v>
      </c>
      <c r="I45" s="76"/>
      <c r="J45" s="39">
        <v>4.0999999999999996</v>
      </c>
      <c r="K45" s="39">
        <f t="shared" si="0"/>
        <v>12.299999999999999</v>
      </c>
      <c r="O45"/>
      <c r="P45" s="5"/>
      <c r="X45"/>
      <c r="Y45" s="34"/>
      <c r="Z45" s="39"/>
    </row>
    <row r="46" spans="2:26" x14ac:dyDescent="0.25">
      <c r="B46" t="s">
        <v>80</v>
      </c>
      <c r="C46" s="27">
        <v>1</v>
      </c>
      <c r="D46" s="27">
        <f>C46*C43</f>
        <v>0</v>
      </c>
      <c r="I46" s="76"/>
      <c r="J46" s="39"/>
      <c r="K46" s="39">
        <f t="shared" si="0"/>
        <v>0</v>
      </c>
      <c r="O46"/>
      <c r="P46" s="5"/>
      <c r="X46"/>
      <c r="Y46" s="34"/>
      <c r="Z46" s="39"/>
    </row>
    <row r="47" spans="2:26" x14ac:dyDescent="0.25">
      <c r="I47" s="76"/>
      <c r="J47" s="39"/>
      <c r="K47" s="39">
        <f t="shared" si="0"/>
        <v>0</v>
      </c>
      <c r="O47"/>
      <c r="P47" s="5"/>
      <c r="X47"/>
      <c r="Y47" s="34"/>
      <c r="Z47" s="39"/>
    </row>
    <row r="48" spans="2:26" x14ac:dyDescent="0.25">
      <c r="B48" t="s">
        <v>75</v>
      </c>
      <c r="C48" s="27">
        <v>0</v>
      </c>
      <c r="D48" s="27" t="s">
        <v>90</v>
      </c>
      <c r="I48" s="76"/>
      <c r="J48" s="39"/>
      <c r="K48" s="39">
        <f t="shared" si="0"/>
        <v>0</v>
      </c>
      <c r="O48"/>
      <c r="P48" s="5"/>
      <c r="X48"/>
      <c r="Y48" s="34"/>
      <c r="Z48" s="39"/>
    </row>
    <row r="49" spans="2:26" x14ac:dyDescent="0.25">
      <c r="B49" t="s">
        <v>77</v>
      </c>
      <c r="C49" s="27">
        <v>2</v>
      </c>
      <c r="D49" s="27">
        <f>C49*C48</f>
        <v>0</v>
      </c>
      <c r="I49" s="76"/>
      <c r="J49" s="39"/>
      <c r="K49" s="39">
        <f t="shared" si="0"/>
        <v>0</v>
      </c>
      <c r="O49"/>
      <c r="P49" s="5"/>
      <c r="X49"/>
      <c r="Y49" s="34"/>
      <c r="Z49" s="39"/>
    </row>
    <row r="50" spans="2:26" x14ac:dyDescent="0.25">
      <c r="B50" t="s">
        <v>80</v>
      </c>
      <c r="C50" s="27">
        <v>2</v>
      </c>
      <c r="D50" s="27">
        <f>C50*C48</f>
        <v>0</v>
      </c>
      <c r="I50" s="76"/>
      <c r="J50" s="39"/>
      <c r="K50" s="39">
        <f t="shared" si="0"/>
        <v>0</v>
      </c>
      <c r="O50"/>
      <c r="P50" s="5"/>
      <c r="X50"/>
      <c r="Y50" s="34"/>
      <c r="Z50" s="39"/>
    </row>
    <row r="51" spans="2:26" x14ac:dyDescent="0.25">
      <c r="I51" s="76"/>
      <c r="J51" s="39"/>
      <c r="K51" s="39">
        <f t="shared" si="0"/>
        <v>0</v>
      </c>
      <c r="O51"/>
      <c r="P51" s="5"/>
      <c r="X51"/>
      <c r="Y51" s="34"/>
      <c r="Z51" s="39"/>
    </row>
    <row r="52" spans="2:26" x14ac:dyDescent="0.25">
      <c r="B52" t="s">
        <v>76</v>
      </c>
      <c r="C52" s="27">
        <v>0</v>
      </c>
      <c r="D52" s="27" t="s">
        <v>85</v>
      </c>
      <c r="I52" s="76"/>
      <c r="J52" s="39"/>
      <c r="K52" s="39">
        <f t="shared" si="0"/>
        <v>0</v>
      </c>
      <c r="O52"/>
      <c r="P52" s="5"/>
      <c r="X52"/>
      <c r="Y52" s="34"/>
      <c r="Z52" s="39"/>
    </row>
    <row r="53" spans="2:26" x14ac:dyDescent="0.25">
      <c r="B53" t="s">
        <v>77</v>
      </c>
      <c r="C53" s="27">
        <v>1</v>
      </c>
      <c r="D53" s="27">
        <f>C53*C52</f>
        <v>0</v>
      </c>
      <c r="I53" s="39"/>
      <c r="J53" s="39"/>
      <c r="K53" s="9">
        <f>SUM(K37:K52)</f>
        <v>89.7</v>
      </c>
      <c r="O53"/>
      <c r="P53" s="5"/>
      <c r="X53"/>
      <c r="Y53" s="34"/>
      <c r="Z53" s="39"/>
    </row>
    <row r="54" spans="2:26" x14ac:dyDescent="0.25">
      <c r="B54" t="s">
        <v>83</v>
      </c>
      <c r="C54" s="27">
        <v>1</v>
      </c>
      <c r="D54" s="27">
        <f>C54*C52</f>
        <v>0</v>
      </c>
      <c r="I54" s="39"/>
      <c r="J54" s="39"/>
      <c r="K54" s="39"/>
      <c r="O54"/>
      <c r="P54" s="5"/>
      <c r="X54"/>
      <c r="Y54" s="34"/>
      <c r="Z54" s="39"/>
    </row>
    <row r="55" spans="2:26" x14ac:dyDescent="0.25">
      <c r="B55" t="s">
        <v>80</v>
      </c>
      <c r="C55" s="27">
        <v>1</v>
      </c>
      <c r="D55" s="27">
        <f>C55*C52</f>
        <v>0</v>
      </c>
      <c r="I55" s="39"/>
      <c r="J55" s="39"/>
      <c r="K55" s="39"/>
      <c r="O55"/>
      <c r="P55" s="5"/>
      <c r="X55"/>
      <c r="Y55" s="34"/>
      <c r="Z55" s="39"/>
    </row>
    <row r="56" spans="2:26" x14ac:dyDescent="0.25">
      <c r="I56" s="76"/>
      <c r="J56" s="76"/>
      <c r="K56" s="76"/>
      <c r="O56"/>
      <c r="P56" s="5"/>
      <c r="X56"/>
      <c r="Y56" s="34"/>
      <c r="Z56" s="39"/>
    </row>
    <row r="57" spans="2:26" x14ac:dyDescent="0.25">
      <c r="I57" s="76" t="s">
        <v>39</v>
      </c>
      <c r="J57" s="79" t="s">
        <v>61</v>
      </c>
      <c r="K57" s="79"/>
      <c r="O57"/>
      <c r="P57" s="5"/>
      <c r="X57"/>
      <c r="Y57" s="34"/>
      <c r="Z57" s="39"/>
    </row>
    <row r="58" spans="2:26" x14ac:dyDescent="0.25">
      <c r="I58" s="76"/>
      <c r="J58" s="5">
        <f>3.53*2</f>
        <v>7.06</v>
      </c>
      <c r="K58" s="5" t="s">
        <v>67</v>
      </c>
      <c r="L58" s="48"/>
      <c r="O58"/>
      <c r="P58" s="5"/>
      <c r="X58"/>
      <c r="Y58" s="34"/>
      <c r="Z58" s="39"/>
    </row>
    <row r="59" spans="2:26" x14ac:dyDescent="0.25">
      <c r="I59" s="76"/>
      <c r="J59" s="5">
        <f>3.53*2</f>
        <v>7.06</v>
      </c>
      <c r="K59" s="5" t="s">
        <v>67</v>
      </c>
      <c r="L59" s="48"/>
      <c r="O59"/>
      <c r="P59" s="5"/>
      <c r="X59"/>
      <c r="Y59" s="34"/>
      <c r="Z59" s="39"/>
    </row>
    <row r="60" spans="2:26" x14ac:dyDescent="0.25">
      <c r="I60" s="76"/>
      <c r="J60" s="39">
        <f>3.24*2</f>
        <v>6.48</v>
      </c>
      <c r="K60" s="39" t="s">
        <v>67</v>
      </c>
      <c r="L60" s="48"/>
      <c r="O60"/>
      <c r="P60" s="5"/>
      <c r="X60"/>
      <c r="Y60" s="34"/>
      <c r="Z60" s="39"/>
    </row>
    <row r="61" spans="2:26" x14ac:dyDescent="0.25">
      <c r="I61" s="76"/>
      <c r="J61" s="5">
        <f>3.53*2</f>
        <v>7.06</v>
      </c>
      <c r="K61" s="39" t="s">
        <v>67</v>
      </c>
      <c r="L61" s="48"/>
      <c r="M61" t="s">
        <v>57</v>
      </c>
      <c r="N61" s="39">
        <v>3.53</v>
      </c>
      <c r="O61" s="39"/>
      <c r="P61" s="39"/>
      <c r="X61"/>
      <c r="Y61" s="34"/>
      <c r="Z61" s="39"/>
    </row>
    <row r="62" spans="2:26" x14ac:dyDescent="0.25">
      <c r="I62" s="76"/>
      <c r="J62" s="5">
        <f>3.53*2</f>
        <v>7.06</v>
      </c>
      <c r="K62" s="39" t="s">
        <v>67</v>
      </c>
      <c r="L62" s="48"/>
      <c r="M62" t="s">
        <v>64</v>
      </c>
      <c r="N62" s="39">
        <v>3.24</v>
      </c>
      <c r="O62" s="39"/>
      <c r="P62" s="39"/>
      <c r="X62"/>
      <c r="Y62" s="34"/>
      <c r="Z62" s="39"/>
    </row>
    <row r="63" spans="2:26" x14ac:dyDescent="0.25">
      <c r="I63" s="76"/>
      <c r="J63" s="39">
        <f>3.24*2</f>
        <v>6.48</v>
      </c>
      <c r="K63" s="39" t="s">
        <v>67</v>
      </c>
      <c r="L63" s="48"/>
      <c r="M63" t="s">
        <v>65</v>
      </c>
      <c r="N63" s="39">
        <v>3.24</v>
      </c>
      <c r="O63" s="39"/>
      <c r="P63" s="39"/>
      <c r="X63"/>
      <c r="Y63" s="34"/>
      <c r="Z63" s="39"/>
    </row>
    <row r="64" spans="2:26" x14ac:dyDescent="0.25">
      <c r="I64" s="76"/>
      <c r="J64" s="39">
        <f>3.24*2</f>
        <v>6.48</v>
      </c>
      <c r="K64" s="39" t="s">
        <v>67</v>
      </c>
      <c r="L64" s="48"/>
      <c r="M64" t="s">
        <v>66</v>
      </c>
      <c r="N64" s="39">
        <v>3.53</v>
      </c>
      <c r="O64" s="39"/>
      <c r="P64" s="39"/>
      <c r="X64"/>
      <c r="Y64" s="34"/>
      <c r="Z64" s="39"/>
    </row>
    <row r="65" spans="9:26" x14ac:dyDescent="0.25">
      <c r="I65" s="76"/>
      <c r="J65" s="39"/>
      <c r="K65" s="39"/>
      <c r="N65" s="39"/>
      <c r="O65" s="39"/>
      <c r="P65" s="39"/>
      <c r="X65"/>
      <c r="Y65" s="34"/>
      <c r="Z65" s="39"/>
    </row>
    <row r="66" spans="9:26" x14ac:dyDescent="0.25">
      <c r="I66" s="76"/>
      <c r="J66" s="39"/>
      <c r="K66" s="39"/>
      <c r="O66"/>
      <c r="P66" s="5"/>
      <c r="X66"/>
      <c r="Y66" s="34"/>
      <c r="Z66" s="39"/>
    </row>
    <row r="67" spans="9:26" x14ac:dyDescent="0.25">
      <c r="I67" s="76"/>
      <c r="J67" s="39"/>
      <c r="K67" s="39"/>
      <c r="O67"/>
      <c r="P67" s="5"/>
      <c r="X67"/>
      <c r="Y67" s="34"/>
      <c r="Z67" s="39"/>
    </row>
    <row r="68" spans="9:26" x14ac:dyDescent="0.25">
      <c r="I68" s="76"/>
      <c r="J68" s="39"/>
      <c r="K68" s="39"/>
      <c r="O68"/>
      <c r="P68" s="5"/>
      <c r="X68"/>
      <c r="Y68" s="34"/>
      <c r="Z68" s="39"/>
    </row>
    <row r="69" spans="9:26" x14ac:dyDescent="0.25">
      <c r="I69" s="76"/>
      <c r="J69" s="39"/>
      <c r="K69" s="39"/>
      <c r="O69"/>
      <c r="P69" s="5"/>
      <c r="X69"/>
      <c r="Y69" s="34"/>
      <c r="Z69" s="39"/>
    </row>
    <row r="70" spans="9:26" x14ac:dyDescent="0.25">
      <c r="I70" s="76"/>
      <c r="J70" s="39"/>
      <c r="K70" s="39"/>
      <c r="O70"/>
      <c r="P70" s="5"/>
      <c r="X70"/>
      <c r="Y70" s="34"/>
      <c r="Z70" s="39"/>
    </row>
    <row r="71" spans="9:26" x14ac:dyDescent="0.25">
      <c r="I71" s="76"/>
      <c r="J71" s="39"/>
      <c r="K71" s="39"/>
      <c r="O71"/>
      <c r="P71" s="5"/>
      <c r="X71"/>
      <c r="Y71" s="34"/>
      <c r="Z71" s="39"/>
    </row>
    <row r="72" spans="9:26" x14ac:dyDescent="0.25">
      <c r="I72" s="76"/>
      <c r="J72" s="39"/>
      <c r="K72" s="39"/>
      <c r="O72"/>
      <c r="P72" s="5"/>
      <c r="X72"/>
      <c r="Y72" s="34"/>
      <c r="Z72" s="39"/>
    </row>
    <row r="73" spans="9:26" x14ac:dyDescent="0.25">
      <c r="I73" s="76"/>
      <c r="J73" s="39">
        <f>SUM(J58:J64)</f>
        <v>47.680000000000007</v>
      </c>
      <c r="K73" s="39"/>
      <c r="O73"/>
      <c r="P73" s="5"/>
      <c r="X73"/>
      <c r="Y73" s="34"/>
      <c r="Z73" s="39"/>
    </row>
  </sheetData>
  <mergeCells count="33">
    <mergeCell ref="I56:K56"/>
    <mergeCell ref="I57:I73"/>
    <mergeCell ref="J57:K57"/>
    <mergeCell ref="W35:W38"/>
    <mergeCell ref="X35:Y35"/>
    <mergeCell ref="I36:I52"/>
    <mergeCell ref="J36:K36"/>
    <mergeCell ref="L37:L42"/>
    <mergeCell ref="R10:T10"/>
    <mergeCell ref="I35:K35"/>
    <mergeCell ref="N35:N38"/>
    <mergeCell ref="O35:P35"/>
    <mergeCell ref="R35:R38"/>
    <mergeCell ref="S35:U35"/>
    <mergeCell ref="I10:I13"/>
    <mergeCell ref="J10:K10"/>
    <mergeCell ref="M10:M13"/>
    <mergeCell ref="N10:O10"/>
    <mergeCell ref="Q10:Q13"/>
    <mergeCell ref="N24:Q24"/>
    <mergeCell ref="S24:S27"/>
    <mergeCell ref="T24:U24"/>
    <mergeCell ref="I17:I20"/>
    <mergeCell ref="J17:K17"/>
    <mergeCell ref="M17:M20"/>
    <mergeCell ref="N17:O17"/>
    <mergeCell ref="Q17:Q20"/>
    <mergeCell ref="R17:V17"/>
    <mergeCell ref="I29:I32"/>
    <mergeCell ref="J29:L29"/>
    <mergeCell ref="I24:I27"/>
    <mergeCell ref="J24:K24"/>
    <mergeCell ref="M24:M27"/>
  </mergeCells>
  <pageMargins left="0.7" right="0.7" top="0.75" bottom="0.75" header="0.3" footer="0.3"/>
  <pageSetup paperSize="9" orientation="portrait" r:id="rId1"/>
  <ignoredErrors>
    <ignoredError sqref="J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№1</vt:lpstr>
      <vt:lpstr>Тех. этаж</vt:lpstr>
      <vt:lpstr>1 этаж</vt:lpstr>
      <vt:lpstr>2 этаж</vt:lpstr>
      <vt:lpstr>3 этаж</vt:lpstr>
      <vt:lpstr>4 этаж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Сидорова Елена Андреевна</dc:creator>
  <cp:lastModifiedBy>Култаева Елена Юрьевна</cp:lastModifiedBy>
  <dcterms:created xsi:type="dcterms:W3CDTF">2015-06-05T18:19:34Z</dcterms:created>
  <dcterms:modified xsi:type="dcterms:W3CDTF">2026-05-28T02:56:49Z</dcterms:modified>
</cp:coreProperties>
</file>