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.khramova\Desktop\"/>
    </mc:Choice>
  </mc:AlternateContent>
  <xr:revisionPtr revIDLastSave="0" documentId="13_ncr:1_{7A890EC8-E618-4440-978B-CE0145D5F743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Тех. этаж" sheetId="2" state="hidden" r:id="rId1"/>
    <sheet name="1 этаж" sheetId="11" state="hidden" r:id="rId2"/>
    <sheet name="2 этаж" sheetId="6" state="hidden" r:id="rId3"/>
    <sheet name="3 этаж" sheetId="9" state="hidden" r:id="rId4"/>
    <sheet name="4 этаж" sheetId="10" state="hidden" r:id="rId5"/>
    <sheet name="Черновые" sheetId="14" r:id="rId6"/>
  </sheets>
  <definedNames>
    <definedName name="_xlnm._FilterDatabase" localSheetId="5" hidden="1">Черновые!$B$3:$B$44</definedName>
    <definedName name="_xlnm.Print_Area" localSheetId="5">Черновые!$A$1:$E$45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4" l="1"/>
  <c r="D21" i="14"/>
  <c r="D23" i="14" l="1"/>
  <c r="B45" i="14" l="1"/>
  <c r="B44" i="14"/>
  <c r="D42" i="14"/>
  <c r="AB19" i="6"/>
  <c r="AB19" i="9"/>
  <c r="AC19" i="9" s="1"/>
  <c r="AD19" i="9" s="1"/>
  <c r="L2" i="9"/>
  <c r="M5" i="11"/>
  <c r="N8" i="11" s="1"/>
  <c r="D29" i="11"/>
  <c r="AB16" i="11"/>
  <c r="AA16" i="10"/>
  <c r="R10" i="11"/>
  <c r="T13" i="11" s="1"/>
  <c r="N10" i="11"/>
  <c r="I2" i="11"/>
  <c r="D55" i="11"/>
  <c r="D54" i="11"/>
  <c r="D53" i="11"/>
  <c r="K52" i="11"/>
  <c r="K51" i="11"/>
  <c r="K50" i="11"/>
  <c r="D50" i="11"/>
  <c r="K49" i="11"/>
  <c r="D49" i="11"/>
  <c r="K48" i="11"/>
  <c r="K47" i="11"/>
  <c r="K46" i="11"/>
  <c r="D46" i="11"/>
  <c r="K45" i="11"/>
  <c r="D45" i="11"/>
  <c r="K44" i="11"/>
  <c r="D44" i="11"/>
  <c r="K43" i="11"/>
  <c r="K42" i="11"/>
  <c r="K41" i="11"/>
  <c r="D41" i="11"/>
  <c r="K40" i="11"/>
  <c r="D40" i="11"/>
  <c r="K39" i="11"/>
  <c r="Y38" i="11"/>
  <c r="K38" i="11"/>
  <c r="Y37" i="11"/>
  <c r="Y39" i="11" s="1"/>
  <c r="K37" i="11"/>
  <c r="D37" i="11"/>
  <c r="D36" i="11"/>
  <c r="J27" i="11" s="1"/>
  <c r="Z17" i="11" s="1"/>
  <c r="D35" i="11"/>
  <c r="D34" i="11"/>
  <c r="N27" i="11" s="1"/>
  <c r="D33" i="11"/>
  <c r="D30" i="11"/>
  <c r="U26" i="11"/>
  <c r="P26" i="11"/>
  <c r="D26" i="11"/>
  <c r="D25" i="11"/>
  <c r="D22" i="11"/>
  <c r="E15" i="11" s="1"/>
  <c r="D21" i="11"/>
  <c r="J20" i="11"/>
  <c r="D20" i="11"/>
  <c r="T27" i="11" s="1"/>
  <c r="V19" i="11"/>
  <c r="U19" i="11"/>
  <c r="N19" i="11"/>
  <c r="D19" i="11"/>
  <c r="E16" i="11"/>
  <c r="K13" i="11"/>
  <c r="J13" i="11"/>
  <c r="Z11" i="11"/>
  <c r="Z10" i="11"/>
  <c r="E6" i="11"/>
  <c r="D25" i="9"/>
  <c r="K13" i="9"/>
  <c r="J64" i="10"/>
  <c r="J63" i="10"/>
  <c r="J62" i="10"/>
  <c r="J61" i="10"/>
  <c r="J60" i="10"/>
  <c r="J59" i="10"/>
  <c r="J58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Y38" i="10"/>
  <c r="K38" i="10"/>
  <c r="Y37" i="10"/>
  <c r="K37" i="10"/>
  <c r="X38" i="6"/>
  <c r="X37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Y40" i="9"/>
  <c r="Y41" i="9" s="1"/>
  <c r="K5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N10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Y39" i="9"/>
  <c r="K39" i="9"/>
  <c r="I61" i="6"/>
  <c r="I71" i="6"/>
  <c r="I62" i="6"/>
  <c r="I60" i="6"/>
  <c r="D21" i="6"/>
  <c r="I70" i="6"/>
  <c r="I69" i="6"/>
  <c r="I68" i="6"/>
  <c r="I67" i="6"/>
  <c r="I66" i="6"/>
  <c r="I65" i="6"/>
  <c r="I64" i="6"/>
  <c r="I63" i="6"/>
  <c r="I59" i="6"/>
  <c r="I58" i="6"/>
  <c r="N10" i="6"/>
  <c r="AA16" i="6"/>
  <c r="R35" i="6"/>
  <c r="R38" i="6" s="1"/>
  <c r="N35" i="6"/>
  <c r="AA16" i="9"/>
  <c r="R10" i="10"/>
  <c r="R13" i="10" s="1"/>
  <c r="T13" i="10"/>
  <c r="Z11" i="10"/>
  <c r="N10" i="10"/>
  <c r="Z11" i="9"/>
  <c r="E16" i="9"/>
  <c r="L2" i="10"/>
  <c r="D55" i="10"/>
  <c r="D54" i="10"/>
  <c r="D53" i="10"/>
  <c r="D50" i="10"/>
  <c r="D49" i="10"/>
  <c r="D46" i="10"/>
  <c r="D45" i="10"/>
  <c r="D44" i="10"/>
  <c r="D41" i="10"/>
  <c r="D40" i="10"/>
  <c r="D37" i="10"/>
  <c r="D36" i="10"/>
  <c r="J27" i="10" s="1"/>
  <c r="Z17" i="10" s="1"/>
  <c r="D35" i="10"/>
  <c r="D34" i="10"/>
  <c r="N27" i="10" s="1"/>
  <c r="D33" i="10"/>
  <c r="D30" i="10"/>
  <c r="D29" i="10"/>
  <c r="U26" i="10"/>
  <c r="P26" i="10"/>
  <c r="D26" i="10"/>
  <c r="D25" i="10"/>
  <c r="D22" i="10"/>
  <c r="Z10" i="10" s="1"/>
  <c r="D21" i="10"/>
  <c r="J20" i="10"/>
  <c r="D20" i="10"/>
  <c r="T27" i="10" s="1"/>
  <c r="U27" i="10" s="1"/>
  <c r="V19" i="10"/>
  <c r="U19" i="10"/>
  <c r="N19" i="10"/>
  <c r="D19" i="10"/>
  <c r="R20" i="10" s="1"/>
  <c r="E16" i="10"/>
  <c r="K13" i="10"/>
  <c r="J13" i="10"/>
  <c r="E6" i="10"/>
  <c r="U26" i="9"/>
  <c r="R10" i="9"/>
  <c r="R13" i="9" s="1"/>
  <c r="E6" i="9"/>
  <c r="D55" i="9"/>
  <c r="D54" i="9"/>
  <c r="D53" i="9"/>
  <c r="D50" i="9"/>
  <c r="D49" i="9"/>
  <c r="D46" i="9"/>
  <c r="D45" i="9"/>
  <c r="J32" i="9" s="1"/>
  <c r="D44" i="9"/>
  <c r="D41" i="9"/>
  <c r="D40" i="9"/>
  <c r="D37" i="9"/>
  <c r="D36" i="9"/>
  <c r="J27" i="9" s="1"/>
  <c r="Z17" i="9" s="1"/>
  <c r="D35" i="9"/>
  <c r="D34" i="9"/>
  <c r="D33" i="9"/>
  <c r="D30" i="9"/>
  <c r="D29" i="9"/>
  <c r="N27" i="9"/>
  <c r="P26" i="9"/>
  <c r="D26" i="9"/>
  <c r="D22" i="9"/>
  <c r="Z10" i="9" s="1"/>
  <c r="D21" i="9"/>
  <c r="J20" i="9"/>
  <c r="D20" i="9"/>
  <c r="V19" i="9"/>
  <c r="U19" i="9"/>
  <c r="N19" i="9"/>
  <c r="D19" i="9"/>
  <c r="J13" i="9"/>
  <c r="T27" i="9" l="1"/>
  <c r="U27" i="9" s="1"/>
  <c r="I73" i="6"/>
  <c r="Z6" i="6" s="1"/>
  <c r="J73" i="10"/>
  <c r="Z7" i="10" s="1"/>
  <c r="K55" i="9"/>
  <c r="Z6" i="9" s="1"/>
  <c r="O40" i="9"/>
  <c r="P40" i="9" s="1"/>
  <c r="O38" i="10"/>
  <c r="Z5" i="10" s="1"/>
  <c r="E15" i="9"/>
  <c r="S38" i="10"/>
  <c r="T38" i="10" s="1"/>
  <c r="O38" i="11"/>
  <c r="Z5" i="11" s="1"/>
  <c r="K32" i="9"/>
  <c r="S20" i="10"/>
  <c r="V20" i="10" s="1"/>
  <c r="T20" i="9"/>
  <c r="T20" i="11"/>
  <c r="N20" i="9"/>
  <c r="O20" i="9" s="1"/>
  <c r="Z20" i="9" s="1"/>
  <c r="P27" i="10"/>
  <c r="K32" i="10"/>
  <c r="S40" i="9"/>
  <c r="T40" i="9" s="1"/>
  <c r="AC19" i="6"/>
  <c r="AD19" i="6" s="1"/>
  <c r="S20" i="11"/>
  <c r="N13" i="11"/>
  <c r="Z5" i="9"/>
  <c r="E15" i="10"/>
  <c r="Y39" i="10"/>
  <c r="R20" i="9"/>
  <c r="U20" i="9" s="1"/>
  <c r="R13" i="11"/>
  <c r="N13" i="9"/>
  <c r="Z12" i="9" s="1"/>
  <c r="L32" i="11"/>
  <c r="L32" i="10"/>
  <c r="S38" i="11"/>
  <c r="T38" i="11" s="1"/>
  <c r="U20" i="10"/>
  <c r="T13" i="9"/>
  <c r="P27" i="11"/>
  <c r="N20" i="10"/>
  <c r="O20" i="10" s="1"/>
  <c r="Z20" i="10" s="1"/>
  <c r="J53" i="6"/>
  <c r="N13" i="10"/>
  <c r="Z12" i="10" s="1"/>
  <c r="M8" i="11"/>
  <c r="R20" i="11"/>
  <c r="U20" i="11" s="1"/>
  <c r="P27" i="9"/>
  <c r="J75" i="9"/>
  <c r="Z7" i="9" s="1"/>
  <c r="X39" i="6"/>
  <c r="K53" i="11"/>
  <c r="U27" i="11"/>
  <c r="N20" i="11"/>
  <c r="O20" i="11" s="1"/>
  <c r="S13" i="11"/>
  <c r="Z15" i="11" s="1"/>
  <c r="J32" i="11"/>
  <c r="K32" i="11"/>
  <c r="K53" i="10"/>
  <c r="Z6" i="10" s="1"/>
  <c r="S38" i="6"/>
  <c r="J32" i="10"/>
  <c r="Z18" i="10" s="1"/>
  <c r="S13" i="10"/>
  <c r="Z15" i="10" s="1"/>
  <c r="T20" i="10"/>
  <c r="Z19" i="10" s="1"/>
  <c r="Z13" i="10"/>
  <c r="S20" i="9"/>
  <c r="Z13" i="9"/>
  <c r="S13" i="9"/>
  <c r="Z15" i="9" s="1"/>
  <c r="Z18" i="9"/>
  <c r="L32" i="9"/>
  <c r="Z11" i="6"/>
  <c r="R10" i="6"/>
  <c r="R13" i="6" s="1"/>
  <c r="D55" i="6"/>
  <c r="D54" i="6"/>
  <c r="D53" i="6"/>
  <c r="D50" i="6"/>
  <c r="D49" i="6"/>
  <c r="D46" i="6"/>
  <c r="D45" i="6"/>
  <c r="D44" i="6"/>
  <c r="D41" i="6"/>
  <c r="D40" i="6"/>
  <c r="D37" i="6"/>
  <c r="N13" i="6" s="1"/>
  <c r="D36" i="6"/>
  <c r="J27" i="6" s="1"/>
  <c r="Z17" i="6" s="1"/>
  <c r="D35" i="6"/>
  <c r="D34" i="6"/>
  <c r="N27" i="6" s="1"/>
  <c r="D33" i="6"/>
  <c r="D30" i="6"/>
  <c r="D29" i="6"/>
  <c r="D26" i="6"/>
  <c r="D25" i="6"/>
  <c r="V19" i="6"/>
  <c r="U26" i="6"/>
  <c r="D20" i="6"/>
  <c r="D19" i="6"/>
  <c r="P26" i="6"/>
  <c r="U19" i="6"/>
  <c r="N19" i="6"/>
  <c r="J20" i="6"/>
  <c r="K13" i="6"/>
  <c r="J13" i="6"/>
  <c r="D22" i="6"/>
  <c r="Z10" i="6" s="1"/>
  <c r="E16" i="6"/>
  <c r="F6" i="6"/>
  <c r="O2" i="6"/>
  <c r="AA11" i="10" l="1"/>
  <c r="P38" i="10"/>
  <c r="Z4" i="10" s="1"/>
  <c r="Z12" i="11"/>
  <c r="AA10" i="11"/>
  <c r="Z14" i="10"/>
  <c r="Z19" i="11"/>
  <c r="Z16" i="9"/>
  <c r="AB16" i="9" s="1"/>
  <c r="Z13" i="11"/>
  <c r="Z16" i="10"/>
  <c r="AB16" i="10" s="1"/>
  <c r="S20" i="6"/>
  <c r="V20" i="6" s="1"/>
  <c r="Z19" i="9"/>
  <c r="T27" i="6"/>
  <c r="U27" i="6" s="1"/>
  <c r="AA10" i="10"/>
  <c r="Z4" i="9"/>
  <c r="R20" i="6"/>
  <c r="AA10" i="9"/>
  <c r="Z12" i="6"/>
  <c r="P27" i="6"/>
  <c r="Z16" i="11"/>
  <c r="AA16" i="11" s="1"/>
  <c r="Z5" i="6"/>
  <c r="L32" i="6"/>
  <c r="J32" i="6"/>
  <c r="Z18" i="6" s="1"/>
  <c r="Z20" i="11"/>
  <c r="P38" i="11"/>
  <c r="Z4" i="11" s="1"/>
  <c r="V20" i="11"/>
  <c r="AA11" i="11" s="1"/>
  <c r="Z14" i="11"/>
  <c r="K32" i="6"/>
  <c r="N20" i="6"/>
  <c r="O20" i="6" s="1"/>
  <c r="E15" i="6"/>
  <c r="S13" i="6"/>
  <c r="Z15" i="6" s="1"/>
  <c r="N38" i="6"/>
  <c r="V20" i="9"/>
  <c r="AA11" i="9" s="1"/>
  <c r="Z14" i="9"/>
  <c r="T13" i="6"/>
  <c r="O9" i="2"/>
  <c r="P9" i="2" s="1"/>
  <c r="O8" i="2"/>
  <c r="N8" i="2"/>
  <c r="O7" i="2"/>
  <c r="P7" i="2" s="1"/>
  <c r="O6" i="2"/>
  <c r="P6" i="2" s="1"/>
  <c r="O5" i="2"/>
  <c r="N5" i="2"/>
  <c r="P5" i="2" s="1"/>
  <c r="Z20" i="6" l="1"/>
  <c r="T20" i="6"/>
  <c r="U20" i="6"/>
  <c r="AA10" i="6" s="1"/>
  <c r="Z13" i="6"/>
  <c r="Z14" i="6"/>
  <c r="Z19" i="6"/>
  <c r="AA11" i="6"/>
  <c r="Z16" i="6"/>
  <c r="AB16" i="6" s="1"/>
  <c r="O38" i="6"/>
  <c r="Z3" i="6" s="1"/>
  <c r="Z4" i="6"/>
  <c r="P8" i="2"/>
  <c r="P10" i="2" s="1"/>
  <c r="G6" i="2" l="1"/>
  <c r="G17" i="2"/>
  <c r="G16" i="2"/>
  <c r="G18" i="2" s="1"/>
  <c r="G5" i="2"/>
  <c r="G4" i="2"/>
  <c r="G20" i="2" l="1"/>
  <c r="D8" i="2"/>
  <c r="E17" i="2"/>
  <c r="D17" i="2"/>
  <c r="D13" i="2"/>
  <c r="D14" i="2" s="1"/>
  <c r="I13" i="2" l="1"/>
  <c r="H13" i="2"/>
  <c r="E13" i="2"/>
  <c r="E14" i="2" s="1"/>
  <c r="E18" i="2" s="1"/>
  <c r="D18" i="2"/>
  <c r="E8" i="2"/>
  <c r="E5" i="2"/>
  <c r="D5" i="2"/>
  <c r="D9" i="2" s="1"/>
  <c r="D20" i="2" l="1"/>
  <c r="E9" i="2"/>
  <c r="E20" i="2" s="1"/>
</calcChain>
</file>

<file path=xl/sharedStrings.xml><?xml version="1.0" encoding="utf-8"?>
<sst xmlns="http://schemas.openxmlformats.org/spreadsheetml/2006/main" count="829" uniqueCount="146">
  <si>
    <t>Вид Ж</t>
  </si>
  <si>
    <t>узел 5</t>
  </si>
  <si>
    <t>узел 6</t>
  </si>
  <si>
    <t>ММ1</t>
  </si>
  <si>
    <t>Ан1</t>
  </si>
  <si>
    <t>Вид И</t>
  </si>
  <si>
    <t>Кол-во узлов</t>
  </si>
  <si>
    <t>узел 1</t>
  </si>
  <si>
    <t>узел 2</t>
  </si>
  <si>
    <t>Кирпич</t>
  </si>
  <si>
    <t>6-7/С-Т</t>
  </si>
  <si>
    <t>Длина</t>
  </si>
  <si>
    <t>Высота</t>
  </si>
  <si>
    <t>6-7/Л-Н</t>
  </si>
  <si>
    <t>13-14/С-Т</t>
  </si>
  <si>
    <t>1-2/Б-В</t>
  </si>
  <si>
    <t>15-16/Б-В</t>
  </si>
  <si>
    <t>И</t>
  </si>
  <si>
    <t>Ж</t>
  </si>
  <si>
    <t>Технический этаж</t>
  </si>
  <si>
    <t>Площадь, м2</t>
  </si>
  <si>
    <t>АН1</t>
  </si>
  <si>
    <r>
      <rPr>
        <b/>
        <sz val="11"/>
        <color theme="1"/>
        <rFont val="Calibri"/>
        <family val="2"/>
        <charset val="204"/>
        <scheme val="minor"/>
      </rPr>
      <t xml:space="preserve">ММ1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шаг 750</t>
    </r>
  </si>
  <si>
    <r>
      <rPr>
        <b/>
        <sz val="11"/>
        <color theme="1"/>
        <rFont val="Calibri"/>
        <family val="2"/>
        <charset val="204"/>
        <scheme val="minor"/>
      </rPr>
      <t>К-1</t>
    </r>
    <r>
      <rPr>
        <sz val="11"/>
        <color theme="1"/>
        <rFont val="Calibri"/>
        <family val="2"/>
        <scheme val="minor"/>
      </rPr>
      <t xml:space="preserve">  (2,450м)
</t>
    </r>
    <r>
      <rPr>
        <sz val="8"/>
        <color theme="1"/>
        <rFont val="Calibri"/>
        <family val="2"/>
        <charset val="204"/>
        <scheme val="minor"/>
      </rPr>
      <t>сверху по длине</t>
    </r>
  </si>
  <si>
    <r>
      <rPr>
        <b/>
        <sz val="11"/>
        <color theme="1"/>
        <rFont val="Calibri"/>
        <family val="2"/>
        <charset val="204"/>
        <scheme val="minor"/>
      </rPr>
      <t>К-2</t>
    </r>
    <r>
      <rPr>
        <sz val="11"/>
        <color theme="1"/>
        <rFont val="Calibri"/>
        <family val="2"/>
        <scheme val="minor"/>
      </rPr>
      <t xml:space="preserve">  (1,000м)
</t>
    </r>
    <r>
      <rPr>
        <sz val="8"/>
        <color theme="1"/>
        <rFont val="Calibri"/>
        <family val="2"/>
        <charset val="204"/>
        <scheme val="minor"/>
      </rPr>
      <t>в каждые три шва кладки на уровне ММ</t>
    </r>
  </si>
  <si>
    <r>
      <rPr>
        <b/>
        <sz val="11"/>
        <color theme="1"/>
        <rFont val="Calibri"/>
        <family val="2"/>
        <charset val="204"/>
        <scheme val="minor"/>
      </rPr>
      <t>К-3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по всей длине перегородки в верхние три шва</t>
    </r>
  </si>
  <si>
    <t>-</t>
  </si>
  <si>
    <t>м2</t>
  </si>
  <si>
    <t>Узел 4</t>
  </si>
  <si>
    <t>ММ4</t>
  </si>
  <si>
    <t>К-2</t>
  </si>
  <si>
    <t>К-1</t>
  </si>
  <si>
    <t>Узел 2</t>
  </si>
  <si>
    <t>Балка Б1</t>
  </si>
  <si>
    <t>Балка Б2</t>
  </si>
  <si>
    <t>Узел А</t>
  </si>
  <si>
    <t>Пл1</t>
  </si>
  <si>
    <t>Ан2</t>
  </si>
  <si>
    <t>Узел 3</t>
  </si>
  <si>
    <t>Узел Б</t>
  </si>
  <si>
    <t>ММ2</t>
  </si>
  <si>
    <r>
      <t xml:space="preserve">ММ3
</t>
    </r>
    <r>
      <rPr>
        <sz val="9"/>
        <color theme="1"/>
        <rFont val="Calibri"/>
        <family val="2"/>
        <charset val="204"/>
        <scheme val="minor"/>
      </rPr>
      <t>(100х100)</t>
    </r>
  </si>
  <si>
    <r>
      <t xml:space="preserve">ММ2
</t>
    </r>
    <r>
      <rPr>
        <sz val="9"/>
        <color theme="1"/>
        <rFont val="Calibri"/>
        <family val="2"/>
        <charset val="204"/>
        <scheme val="minor"/>
      </rPr>
      <t>(120х120)</t>
    </r>
  </si>
  <si>
    <r>
      <t xml:space="preserve">1 
</t>
    </r>
    <r>
      <rPr>
        <sz val="8"/>
        <color theme="1"/>
        <rFont val="Calibri"/>
        <family val="2"/>
        <charset val="204"/>
        <scheme val="minor"/>
      </rPr>
      <t>(120х120)</t>
    </r>
  </si>
  <si>
    <r>
      <t xml:space="preserve">2
</t>
    </r>
    <r>
      <rPr>
        <sz val="8"/>
        <color theme="1"/>
        <rFont val="Calibri"/>
        <family val="2"/>
        <charset val="204"/>
        <scheme val="minor"/>
      </rPr>
      <t>(100х100)</t>
    </r>
  </si>
  <si>
    <t>Узел 1</t>
  </si>
  <si>
    <t>Узел Г</t>
  </si>
  <si>
    <t>Пл2</t>
  </si>
  <si>
    <t>сварка</t>
  </si>
  <si>
    <t>Узел Д</t>
  </si>
  <si>
    <t>Вид В</t>
  </si>
  <si>
    <t>Вид Б</t>
  </si>
  <si>
    <t>100х100</t>
  </si>
  <si>
    <t>Вид Г</t>
  </si>
  <si>
    <t>Узел В</t>
  </si>
  <si>
    <t>120х120</t>
  </si>
  <si>
    <t>Ст1</t>
  </si>
  <si>
    <t>ММ3</t>
  </si>
  <si>
    <t>К-3</t>
  </si>
  <si>
    <t>С1</t>
  </si>
  <si>
    <t>С-1</t>
  </si>
  <si>
    <t>Вид А</t>
  </si>
  <si>
    <t>Заглушка</t>
  </si>
  <si>
    <t>Ст2</t>
  </si>
  <si>
    <t>Ст3</t>
  </si>
  <si>
    <t>Ст4</t>
  </si>
  <si>
    <t>+</t>
  </si>
  <si>
    <t>2шт.</t>
  </si>
  <si>
    <t>поз.1</t>
  </si>
  <si>
    <t>поз.2</t>
  </si>
  <si>
    <t>4х120х120</t>
  </si>
  <si>
    <t>4х100х100</t>
  </si>
  <si>
    <t>Вид Д</t>
  </si>
  <si>
    <t>Вид Е</t>
  </si>
  <si>
    <t>Вид К</t>
  </si>
  <si>
    <t>Вид Л</t>
  </si>
  <si>
    <t>узел Б</t>
  </si>
  <si>
    <t>узел В</t>
  </si>
  <si>
    <t>узел 3</t>
  </si>
  <si>
    <t>узел А</t>
  </si>
  <si>
    <t>узел Д</t>
  </si>
  <si>
    <t>узел Г</t>
  </si>
  <si>
    <t>узел Е</t>
  </si>
  <si>
    <t>Узел 5</t>
  </si>
  <si>
    <t>Стойки Ст3</t>
  </si>
  <si>
    <t>Стойки Ст1,2</t>
  </si>
  <si>
    <t>Стойки Ст2</t>
  </si>
  <si>
    <t>Узел Е</t>
  </si>
  <si>
    <t>Уг1</t>
  </si>
  <si>
    <t>Стойки Ст4</t>
  </si>
  <si>
    <t xml:space="preserve"> +2 узла Е</t>
  </si>
  <si>
    <t>всего</t>
  </si>
  <si>
    <t>стойки у шахты лифта стоят без пары ММ1</t>
  </si>
  <si>
    <t>СТ3</t>
  </si>
  <si>
    <t xml:space="preserve"> +1 узел Е</t>
  </si>
  <si>
    <t>связаны</t>
  </si>
  <si>
    <t>проект</t>
  </si>
  <si>
    <t>почему на 2 этаже узел А</t>
  </si>
  <si>
    <t xml:space="preserve">К-3 </t>
  </si>
  <si>
    <t>по всей длине перегородки в верхние три шва</t>
  </si>
  <si>
    <t>замаркирована не та балка</t>
  </si>
  <si>
    <t>узел 4</t>
  </si>
  <si>
    <t>узеб Б, Е</t>
  </si>
  <si>
    <t>Ед. изм.</t>
  </si>
  <si>
    <t>Общее кол-во</t>
  </si>
  <si>
    <t>Примечание</t>
  </si>
  <si>
    <t>Фиброармированная стяжка М200 - 73мм</t>
  </si>
  <si>
    <t>Пленка полиэтиленовая 80 мкм</t>
  </si>
  <si>
    <t>Фиброармированная стяжка М200 - 65 мм</t>
  </si>
  <si>
    <t>Фиброармированная стяжка М200 - 45-60 мм с уклоном к трапу 1%</t>
  </si>
  <si>
    <t>Фиброармированная стяжка М200 - 68мм</t>
  </si>
  <si>
    <t>101, 102, 108</t>
  </si>
  <si>
    <t>Фиброармированная стяжка- 45мм</t>
  </si>
  <si>
    <t>144 (в осях 14-15), 115 (в осях 15-16/К-Л и Н/П)</t>
  </si>
  <si>
    <t>269, 270</t>
  </si>
  <si>
    <t xml:space="preserve">213, 215, 216, 217, 218, 219, 221, 222, 223, 224, 225, 226, 231, 232, 261, 262, 272, 273, 276, 278, 279, 280, 282, 283, 286, 288, 290, 291, 293, 295, 299, 312, 314, 315, 316, 317, 318, 319, 321, 322, 323, 324, 325, 326, 331, 327, 358, 359, 412, 414, 415, 416, 417, 418, 419, 421, 422, 423, 424, 425, 426, 431 </t>
  </si>
  <si>
    <t>Фиброармированная стяжка М200 - 40-55 мм с уклоном к трапу 1%</t>
  </si>
  <si>
    <t>Виброшумоизоляция - Пенотерм НПП ЛЭ - 10 мм</t>
  </si>
  <si>
    <t>9.1</t>
  </si>
  <si>
    <t>252 в осях 1-3/Р-Т</t>
  </si>
  <si>
    <t>202, 203, 206, 207, 208, 209, 228, 234, 235, 236, 237, 238, 239, 240, 241, 242, 253, 258, 259, 264, 266, 271, 274, 277, 281, 284, 287, 294, 296, 303, 304, 307, 308, 309, 310, 327, 328, 335, 336, 337, 338, 339, 340, 341, 342, 345, 346, 347, 350, 352, 353, 355, 356, 361, 402, 403, 406, 408, 409, 427, 428, 429, 435, 436, 437, 438, 439, 440, 441, 442, 444, 445, 446,447, 448</t>
  </si>
  <si>
    <t>Фиброармированная стяжка М200 - 63мм</t>
  </si>
  <si>
    <t>Армированная цементно-песчаная. стяжка - 60 мм</t>
  </si>
  <si>
    <t>Фиброармированная стяжка М200 - 62 мм</t>
  </si>
  <si>
    <t>452, 503, 504</t>
  </si>
  <si>
    <t>149, 150, 151</t>
  </si>
  <si>
    <t>Фиброармированная стяжка М200 - 60 мм</t>
  </si>
  <si>
    <t>Техноэласт Акустик Супер - 5 мм
NICOBAND</t>
  </si>
  <si>
    <t>252 (в осях 1-4 / Л-Р и 3-4 / Р-Т)</t>
  </si>
  <si>
    <t>113, 114, 116, 117, 118, 119, 120, 141, 145, 146, 155, 156, 163, 170, 185, 186, 196, 197, 199.3, 199.6, 199.12</t>
  </si>
  <si>
    <t>210, 211, 212, 214, 220, 227, 229, 230, 243, 248, 254, 255,256, 263, 296, 297, 298, 301, 302, 311, 313, 329, 330, 332,333, 344, 348, 349, 351, 354, 360, 362, 363, 401, 410, 411, 413, 420, 430, 432, 443, 449, 450, 451, 453</t>
  </si>
  <si>
    <t>123, 124, 125, 126, 127, 128, 134, 135, 136, 137, 143, 164,
165, 166, 168, 169, 171, 172, 173, 174, 175, 176, 177, 178, 181, 187, 190, 191, 193, 194, 195, 198, 199, 199.1, 199.2, 199.4, 199.5, 199.7, 199.8, 199.9, 199.10, 199.11</t>
  </si>
  <si>
    <t>101. 102. 103, 104, 105, 106, 107, 108, 109, 110, 111, 112, 121, 122, 129, 130, 131, 132, 133, 138, 139, 140, 142, 147, 148, 152, 153, 154, 157, 158, 159, 160, 161, 162, 167, 179, 180, 182, 184, 189, 192,</t>
  </si>
  <si>
    <t>204 (в осях 15-16/от оси Н всторону каб. 203), 205 (в осях 15-16/от оси Л в сторону каб. 206), 234 (в осях 14-15/А-Б) 305 (в осях 15-16/от оси Н в сторону каб. 203), 306 (в осях 15-16/от оси Л в сторону каб. 206), 334 (в осях 14-15/А-Б) 404 (в осях 15-16/от оси Н в сторону каб. 203), 405 (в осях 15-16/от оси Л в сторону каб. 206), 434 (в осях 14-15/А-Б)</t>
  </si>
  <si>
    <t>Конструктив</t>
  </si>
  <si>
    <t>Тип пола 
по проекту</t>
  </si>
  <si>
    <t>Фиброармированная стяжка М200 - 70 мм
Пленка полиэтиленовая 80 мкм</t>
  </si>
  <si>
    <t>Общая площадь Фиброармированной стяжки</t>
  </si>
  <si>
    <r>
      <t>м</t>
    </r>
    <r>
      <rPr>
        <vertAlign val="superscript"/>
        <sz val="12"/>
        <rFont val="Times New Roman"/>
        <family val="1"/>
        <charset val="204"/>
      </rPr>
      <t>2</t>
    </r>
  </si>
  <si>
    <r>
      <t>м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</si>
  <si>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</si>
  <si>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Выравнивающий слой - Ветонит 5000</t>
    </r>
    <r>
      <rPr>
        <sz val="11"/>
        <color theme="1"/>
        <rFont val="Times New Roman"/>
        <family val="1"/>
        <charset val="204"/>
      </rPr>
      <t xml:space="preserve"> или аналог (при
необходимости см. п.п. 7 для выравнивания поверхности)</t>
    </r>
    <r>
      <rPr>
        <b/>
        <sz val="11"/>
        <color theme="1"/>
        <rFont val="Times New Roman"/>
        <family val="1"/>
        <charset val="204"/>
      </rPr>
      <t xml:space="preserve"> - 5 мм</t>
    </r>
  </si>
  <si>
    <t>Ведомость объемов работ на устройство черновых полов</t>
  </si>
  <si>
    <t>Шлифовка
Армированная цементно-песчан. стяжка -40 мм
Звукоизоляция "Технозласт АКУСТИК С Б350 " - 2,5 мм с самоклеящейся герметизирующей лентой
Фиброармированная стяжка М200 - 70 мм</t>
  </si>
  <si>
    <t>Шлифовка
Армированная цементно-песчан. стяжка -40 мм
Звукоизоляция "Технозласт АКУСТИК С Б350 " - 2,5 мм с самоклеящейся герметизирующей лентой</t>
  </si>
  <si>
    <t>Фиброармированная стяжка М200 - 55 мм
Пленка полиэтиленовая 80 мкм
Виброшумоизоляция - Пенотерм НПП ЛЭ - 10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</si>
</sst>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Fill="1" applyAlignment="1"/>
    <xf numFmtId="0" fontId="0" fillId="0" borderId="0" xfId="0" applyFill="1" applyAlignme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3" fillId="0" borderId="15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0" fillId="0" borderId="2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 wrapText="1"/>
    </xf>
    <xf numFmtId="0" fontId="11" fillId="4" borderId="4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0" fillId="4" borderId="43" xfId="0" applyNumberFormat="1" applyFont="1" applyFill="1" applyBorder="1" applyAlignment="1">
      <alignment vertical="center"/>
    </xf>
    <xf numFmtId="0" fontId="11" fillId="4" borderId="45" xfId="0" applyFont="1" applyFill="1" applyBorder="1" applyAlignment="1">
      <alignment vertical="center"/>
    </xf>
    <xf numFmtId="0" fontId="10" fillId="4" borderId="44" xfId="0" applyFont="1" applyFill="1" applyBorder="1" applyAlignment="1">
      <alignment horizontal="center" vertical="center"/>
    </xf>
    <xf numFmtId="165" fontId="11" fillId="4" borderId="43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165" fontId="10" fillId="0" borderId="0" xfId="0" applyNumberFormat="1" applyFont="1" applyFill="1" applyAlignment="1">
      <alignment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vertical="center"/>
    </xf>
    <xf numFmtId="49" fontId="10" fillId="0" borderId="47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vertical="center" wrapText="1"/>
    </xf>
    <xf numFmtId="0" fontId="10" fillId="0" borderId="38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/>
    </xf>
    <xf numFmtId="165" fontId="11" fillId="0" borderId="40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165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0" fillId="0" borderId="35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165" fontId="13" fillId="0" borderId="16" xfId="0" applyNumberFormat="1" applyFont="1" applyFill="1" applyBorder="1" applyAlignment="1">
      <alignment horizontal="center" vertical="center"/>
    </xf>
    <xf numFmtId="165" fontId="13" fillId="0" borderId="19" xfId="0" applyNumberFormat="1" applyFont="1" applyFill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5" fontId="11" fillId="0" borderId="16" xfId="0" applyNumberFormat="1" applyFont="1" applyFill="1" applyBorder="1" applyAlignment="1">
      <alignment horizontal="center" vertical="center"/>
    </xf>
    <xf numFmtId="165" fontId="11" fillId="0" borderId="19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46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165" fontId="11" fillId="0" borderId="31" xfId="0" applyNumberFormat="1" applyFont="1" applyFill="1" applyBorder="1" applyAlignment="1">
      <alignment horizontal="center" vertical="center"/>
    </xf>
    <xf numFmtId="165" fontId="11" fillId="0" borderId="33" xfId="0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165" fontId="11" fillId="0" borderId="3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165" fontId="11" fillId="0" borderId="21" xfId="0" applyNumberFormat="1" applyFont="1" applyFill="1" applyBorder="1" applyAlignment="1">
      <alignment horizontal="center" vertical="center"/>
    </xf>
    <xf numFmtId="165" fontId="11" fillId="0" borderId="25" xfId="0" applyNumberFormat="1" applyFont="1" applyFill="1" applyBorder="1" applyAlignment="1">
      <alignment horizontal="center" vertical="center"/>
    </xf>
    <xf numFmtId="165" fontId="11" fillId="0" borderId="26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 wrapText="1"/>
    </xf>
    <xf numFmtId="0" fontId="10" fillId="0" borderId="23" xfId="0" applyNumberFormat="1" applyFont="1" applyFill="1" applyBorder="1" applyAlignment="1">
      <alignment horizontal="center" vertical="center"/>
    </xf>
    <xf numFmtId="165" fontId="11" fillId="0" borderId="24" xfId="0" applyNumberFormat="1" applyFont="1" applyFill="1" applyBorder="1" applyAlignment="1">
      <alignment horizontal="center" vertical="center"/>
    </xf>
    <xf numFmtId="165" fontId="11" fillId="0" borderId="3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 wrapText="1"/>
    </xf>
    <xf numFmtId="165" fontId="11" fillId="0" borderId="8" xfId="0" applyNumberFormat="1" applyFont="1" applyFill="1" applyBorder="1" applyAlignment="1">
      <alignment horizontal="center" vertical="center"/>
    </xf>
    <xf numFmtId="0" fontId="10" fillId="0" borderId="41" xfId="0" applyNumberFormat="1" applyFont="1" applyFill="1" applyBorder="1" applyAlignment="1">
      <alignment horizontal="center" vertical="center"/>
    </xf>
    <xf numFmtId="0" fontId="10" fillId="0" borderId="42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46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165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top" wrapText="1"/>
    </xf>
    <xf numFmtId="0" fontId="10" fillId="0" borderId="4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0"/>
  <sheetViews>
    <sheetView zoomScale="115" zoomScaleNormal="115" workbookViewId="0">
      <selection activeCell="H18" sqref="H18"/>
    </sheetView>
  </sheetViews>
  <sheetFormatPr defaultRowHeight="15" x14ac:dyDescent="0.25"/>
  <cols>
    <col min="3" max="3" width="15.5703125" style="1" customWidth="1"/>
    <col min="4" max="4" width="6.140625" style="1" customWidth="1"/>
    <col min="5" max="5" width="6.42578125" style="1" customWidth="1"/>
    <col min="6" max="6" width="6.42578125" style="12" customWidth="1"/>
    <col min="7" max="7" width="27.140625" style="1" customWidth="1"/>
    <col min="8" max="8" width="21.140625" style="1" customWidth="1"/>
    <col min="9" max="9" width="19.5703125" style="1" customWidth="1"/>
    <col min="16" max="16" width="12.85546875" customWidth="1"/>
  </cols>
  <sheetData>
    <row r="2" spans="2:16" x14ac:dyDescent="0.25">
      <c r="B2" s="4" t="s">
        <v>0</v>
      </c>
      <c r="C2" s="98">
        <v>3</v>
      </c>
      <c r="D2" s="98"/>
      <c r="E2" s="98"/>
      <c r="F2" s="11"/>
    </row>
    <row r="3" spans="2:16" ht="36.75" customHeight="1" x14ac:dyDescent="0.25">
      <c r="C3" s="3" t="s">
        <v>6</v>
      </c>
      <c r="D3" s="9" t="s">
        <v>3</v>
      </c>
      <c r="E3" s="9" t="s">
        <v>4</v>
      </c>
      <c r="G3" s="15" t="s">
        <v>25</v>
      </c>
      <c r="L3" s="99" t="s">
        <v>19</v>
      </c>
      <c r="M3" s="99"/>
      <c r="N3" s="99"/>
      <c r="O3" s="99"/>
      <c r="P3" s="2"/>
    </row>
    <row r="4" spans="2:16" x14ac:dyDescent="0.25">
      <c r="B4" s="99" t="s">
        <v>1</v>
      </c>
      <c r="C4" s="99">
        <v>2</v>
      </c>
      <c r="D4" s="1">
        <v>1</v>
      </c>
      <c r="E4" s="1">
        <v>0</v>
      </c>
      <c r="G4" s="1">
        <f>(3.4-0.08)*3</f>
        <v>9.9599999999999991</v>
      </c>
      <c r="M4" s="2"/>
      <c r="N4" s="2" t="s">
        <v>11</v>
      </c>
      <c r="O4" s="2" t="s">
        <v>12</v>
      </c>
      <c r="P4" s="2" t="s">
        <v>20</v>
      </c>
    </row>
    <row r="5" spans="2:16" x14ac:dyDescent="0.25">
      <c r="B5" s="99"/>
      <c r="C5" s="99"/>
      <c r="D5" s="9">
        <f>C4*D4*C2</f>
        <v>6</v>
      </c>
      <c r="E5" s="9">
        <f>C4*E4*C2</f>
        <v>0</v>
      </c>
      <c r="F5" s="11"/>
      <c r="G5" s="1">
        <f>(3.4-0.08)*3</f>
        <v>9.9599999999999991</v>
      </c>
      <c r="K5" t="s">
        <v>9</v>
      </c>
      <c r="L5" t="s">
        <v>10</v>
      </c>
      <c r="M5" s="2" t="s">
        <v>18</v>
      </c>
      <c r="N5" s="6">
        <f>3.8-0.16-0.16-0.04-0.04</f>
        <v>3.3999999999999995</v>
      </c>
      <c r="O5" s="6">
        <f>0.98-0.434</f>
        <v>0.54600000000000004</v>
      </c>
      <c r="P5" s="7">
        <f>N5*O5</f>
        <v>1.8563999999999998</v>
      </c>
    </row>
    <row r="6" spans="2:16" x14ac:dyDescent="0.25">
      <c r="C6" s="3" t="s">
        <v>6</v>
      </c>
      <c r="D6" s="9" t="s">
        <v>3</v>
      </c>
      <c r="E6" s="9" t="s">
        <v>4</v>
      </c>
      <c r="G6" s="17">
        <f>(4.1-0.08)*3</f>
        <v>12.059999999999999</v>
      </c>
      <c r="L6" t="s">
        <v>13</v>
      </c>
      <c r="M6" s="2" t="s">
        <v>17</v>
      </c>
      <c r="N6" s="6">
        <v>3.4</v>
      </c>
      <c r="O6" s="6">
        <f>0.98-0.24</f>
        <v>0.74</v>
      </c>
      <c r="P6" s="7">
        <f t="shared" ref="P6:P9" si="0">N6*O6</f>
        <v>2.516</v>
      </c>
    </row>
    <row r="7" spans="2:16" x14ac:dyDescent="0.25">
      <c r="B7" s="99" t="s">
        <v>2</v>
      </c>
      <c r="C7" s="99">
        <v>2</v>
      </c>
      <c r="D7" s="1">
        <v>1</v>
      </c>
      <c r="E7" s="1">
        <v>1</v>
      </c>
      <c r="L7" t="s">
        <v>14</v>
      </c>
      <c r="M7" s="2" t="s">
        <v>18</v>
      </c>
      <c r="N7" s="6">
        <v>3.4</v>
      </c>
      <c r="O7" s="6">
        <f>0.98-0.434</f>
        <v>0.54600000000000004</v>
      </c>
      <c r="P7" s="7">
        <f t="shared" si="0"/>
        <v>1.8564000000000001</v>
      </c>
    </row>
    <row r="8" spans="2:16" x14ac:dyDescent="0.25">
      <c r="B8" s="99"/>
      <c r="C8" s="99"/>
      <c r="D8" s="9">
        <f>C7*D7*C2</f>
        <v>6</v>
      </c>
      <c r="E8" s="9">
        <f>C7*E7*C2</f>
        <v>6</v>
      </c>
      <c r="F8" s="11"/>
      <c r="L8" t="s">
        <v>15</v>
      </c>
      <c r="M8" s="2" t="s">
        <v>18</v>
      </c>
      <c r="N8" s="6">
        <f>4.1</f>
        <v>4.0999999999999996</v>
      </c>
      <c r="O8" s="6">
        <f>0.98-0.434</f>
        <v>0.54600000000000004</v>
      </c>
      <c r="P8" s="7">
        <f t="shared" si="0"/>
        <v>2.2385999999999999</v>
      </c>
    </row>
    <row r="9" spans="2:16" x14ac:dyDescent="0.25">
      <c r="D9" s="10">
        <f>D8+D5</f>
        <v>12</v>
      </c>
      <c r="E9" s="10">
        <f>E8+E5</f>
        <v>6</v>
      </c>
      <c r="F9" s="11"/>
      <c r="L9" t="s">
        <v>16</v>
      </c>
      <c r="M9" s="2" t="s">
        <v>17</v>
      </c>
      <c r="N9" s="6">
        <v>4.5</v>
      </c>
      <c r="O9" s="6">
        <f>0.98-0.24</f>
        <v>0.74</v>
      </c>
      <c r="P9" s="7">
        <f t="shared" si="0"/>
        <v>3.33</v>
      </c>
    </row>
    <row r="10" spans="2:16" x14ac:dyDescent="0.25">
      <c r="M10" s="2"/>
      <c r="N10" s="2"/>
      <c r="O10" s="2"/>
      <c r="P10" s="8">
        <f>SUM(P5:P9)</f>
        <v>11.7974</v>
      </c>
    </row>
    <row r="11" spans="2:16" x14ac:dyDescent="0.25">
      <c r="B11" s="4" t="s">
        <v>5</v>
      </c>
      <c r="C11" s="98">
        <v>2</v>
      </c>
      <c r="D11" s="98"/>
      <c r="E11" s="98"/>
      <c r="F11" s="11"/>
    </row>
    <row r="12" spans="2:16" ht="38.25" customHeight="1" x14ac:dyDescent="0.25">
      <c r="C12" s="3" t="s">
        <v>6</v>
      </c>
      <c r="D12" s="15" t="s">
        <v>22</v>
      </c>
      <c r="E12" s="16" t="s">
        <v>21</v>
      </c>
      <c r="F12" s="13"/>
      <c r="G12" s="3"/>
      <c r="H12" s="15" t="s">
        <v>23</v>
      </c>
      <c r="I12" s="15" t="s">
        <v>24</v>
      </c>
    </row>
    <row r="13" spans="2:16" x14ac:dyDescent="0.25">
      <c r="B13" t="s">
        <v>7</v>
      </c>
      <c r="C13" s="1">
        <v>2</v>
      </c>
      <c r="D13" s="1">
        <f>ROUNDUP((0.98-0.24)/0.75,1)</f>
        <v>1</v>
      </c>
      <c r="E13" s="1">
        <f>D13</f>
        <v>1</v>
      </c>
      <c r="H13" s="10">
        <f>1*D14</f>
        <v>4</v>
      </c>
      <c r="I13" s="10">
        <f>D14*1</f>
        <v>4</v>
      </c>
    </row>
    <row r="14" spans="2:16" x14ac:dyDescent="0.25">
      <c r="D14" s="9">
        <f>C13*D13*C11</f>
        <v>4</v>
      </c>
      <c r="E14" s="9">
        <f>C13*E13*C11</f>
        <v>4</v>
      </c>
      <c r="F14" s="11"/>
    </row>
    <row r="15" spans="2:16" ht="37.5" x14ac:dyDescent="0.25">
      <c r="C15" s="3" t="s">
        <v>6</v>
      </c>
      <c r="D15" s="9" t="s">
        <v>3</v>
      </c>
      <c r="E15" s="9" t="s">
        <v>4</v>
      </c>
      <c r="G15" s="15" t="s">
        <v>25</v>
      </c>
    </row>
    <row r="16" spans="2:16" x14ac:dyDescent="0.25">
      <c r="B16" t="s">
        <v>8</v>
      </c>
      <c r="C16" s="1">
        <v>2</v>
      </c>
      <c r="D16" s="1">
        <v>1</v>
      </c>
      <c r="E16" s="1">
        <v>1</v>
      </c>
      <c r="G16" s="3">
        <f>(3.4-0.08)*3</f>
        <v>9.9599999999999991</v>
      </c>
    </row>
    <row r="17" spans="4:7" x14ac:dyDescent="0.25">
      <c r="D17" s="9">
        <f>C16*D16*C11</f>
        <v>4</v>
      </c>
      <c r="E17" s="9">
        <f>C16*E16*C11</f>
        <v>4</v>
      </c>
      <c r="F17" s="11"/>
      <c r="G17" s="1">
        <f>(4.5-0.08)*3</f>
        <v>13.26</v>
      </c>
    </row>
    <row r="18" spans="4:7" x14ac:dyDescent="0.25">
      <c r="D18" s="10">
        <f>D17+D14</f>
        <v>8</v>
      </c>
      <c r="E18" s="10">
        <f>E17+E14</f>
        <v>8</v>
      </c>
      <c r="F18" s="11"/>
      <c r="G18" s="17">
        <f>SUM(G16:G17)</f>
        <v>23.22</v>
      </c>
    </row>
    <row r="20" spans="4:7" ht="15.75" x14ac:dyDescent="0.25">
      <c r="D20" s="14">
        <f>D18+D9</f>
        <v>20</v>
      </c>
      <c r="E20" s="14">
        <f>E18+E9</f>
        <v>14</v>
      </c>
      <c r="G20" s="14">
        <f>G4+G5+G6+G16+G17</f>
        <v>55.199999999999996</v>
      </c>
    </row>
  </sheetData>
  <mergeCells count="7">
    <mergeCell ref="C11:E11"/>
    <mergeCell ref="L3:O3"/>
    <mergeCell ref="C2:E2"/>
    <mergeCell ref="C4:C5"/>
    <mergeCell ref="B4:B5"/>
    <mergeCell ref="B7:B8"/>
    <mergeCell ref="C7:C8"/>
  </mergeCells>
  <pageMargins left="0.7" right="0.7" top="0.75" bottom="0.75" header="0.3" footer="0.3"/>
  <pageSetup paperSize="9" orientation="portrait" r:id="rId1"/>
  <ignoredErrors>
    <ignoredError sqref="O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73"/>
  <sheetViews>
    <sheetView workbookViewId="0">
      <selection activeCell="AA22" sqref="AA22"/>
    </sheetView>
  </sheetViews>
  <sheetFormatPr defaultRowHeight="15" x14ac:dyDescent="0.25"/>
  <cols>
    <col min="3" max="3" width="9.140625" style="39"/>
    <col min="4" max="4" width="10.7109375" style="39" customWidth="1"/>
    <col min="5" max="10" width="9.140625" style="39"/>
    <col min="15" max="15" width="9.140625" style="5"/>
    <col min="24" max="24" width="9.140625" style="34"/>
    <col min="25" max="25" width="9.140625" style="12"/>
    <col min="26" max="26" width="9.140625" style="42"/>
  </cols>
  <sheetData>
    <row r="1" spans="2:28" x14ac:dyDescent="0.25">
      <c r="K1" s="39"/>
    </row>
    <row r="2" spans="2:28" x14ac:dyDescent="0.25">
      <c r="B2" t="s">
        <v>34</v>
      </c>
      <c r="C2" s="39">
        <v>1.5</v>
      </c>
      <c r="D2" s="39">
        <v>1.5</v>
      </c>
      <c r="E2" s="5">
        <v>1.1000000000000001</v>
      </c>
      <c r="F2" s="39">
        <v>1.8</v>
      </c>
      <c r="G2" s="39">
        <v>1.5</v>
      </c>
      <c r="H2" s="39">
        <v>1.1000000000000001</v>
      </c>
      <c r="I2" s="25">
        <f>SUM(C2:H2)</f>
        <v>8.5</v>
      </c>
      <c r="K2" s="39"/>
      <c r="L2" s="50"/>
      <c r="M2" s="39"/>
      <c r="N2" s="39"/>
      <c r="O2"/>
      <c r="X2"/>
      <c r="Y2" s="43"/>
      <c r="Z2" s="43"/>
    </row>
    <row r="3" spans="2:28" x14ac:dyDescent="0.25">
      <c r="C3" s="39" t="s">
        <v>64</v>
      </c>
      <c r="D3" s="39" t="s">
        <v>64</v>
      </c>
      <c r="E3" s="5" t="s">
        <v>64</v>
      </c>
      <c r="F3" s="39" t="s">
        <v>64</v>
      </c>
      <c r="G3" s="39" t="s">
        <v>65</v>
      </c>
      <c r="H3" s="39" t="s">
        <v>64</v>
      </c>
      <c r="K3" s="39"/>
      <c r="L3" s="39"/>
      <c r="M3" s="39"/>
      <c r="N3" s="39"/>
      <c r="O3"/>
      <c r="Y3" s="12" t="s">
        <v>96</v>
      </c>
    </row>
    <row r="4" spans="2:28" x14ac:dyDescent="0.25">
      <c r="C4" s="39" t="s">
        <v>64</v>
      </c>
      <c r="D4" s="39" t="s">
        <v>64</v>
      </c>
      <c r="E4" s="5" t="s">
        <v>64</v>
      </c>
      <c r="F4" s="39" t="s">
        <v>64</v>
      </c>
      <c r="G4" s="39" t="s">
        <v>65</v>
      </c>
      <c r="H4" s="39" t="s">
        <v>64</v>
      </c>
      <c r="K4" s="39"/>
      <c r="L4" s="39"/>
      <c r="M4" s="39"/>
      <c r="N4" s="39"/>
      <c r="O4"/>
      <c r="X4" s="47" t="s">
        <v>31</v>
      </c>
      <c r="Y4" s="12">
        <v>227</v>
      </c>
      <c r="Z4" s="42">
        <f>P38+S38</f>
        <v>223</v>
      </c>
    </row>
    <row r="5" spans="2:28" x14ac:dyDescent="0.25">
      <c r="D5"/>
      <c r="E5" s="5"/>
      <c r="K5" s="39"/>
      <c r="L5" s="98" t="s">
        <v>45</v>
      </c>
      <c r="M5" s="100">
        <f>1*3</f>
        <v>3</v>
      </c>
      <c r="N5" s="100"/>
      <c r="O5"/>
      <c r="X5" s="47" t="s">
        <v>30</v>
      </c>
      <c r="Y5" s="12">
        <v>227</v>
      </c>
      <c r="Z5" s="42">
        <f>O38+T38</f>
        <v>223</v>
      </c>
    </row>
    <row r="6" spans="2:28" x14ac:dyDescent="0.25">
      <c r="B6" t="s">
        <v>33</v>
      </c>
      <c r="C6" s="39">
        <v>1.75</v>
      </c>
      <c r="D6" s="39">
        <v>1.59</v>
      </c>
      <c r="E6" s="38">
        <f>SUM(C6:D6)</f>
        <v>3.34</v>
      </c>
      <c r="K6" s="39"/>
      <c r="L6" s="98"/>
      <c r="M6" s="9" t="s">
        <v>3</v>
      </c>
      <c r="N6" s="9" t="s">
        <v>4</v>
      </c>
      <c r="O6"/>
      <c r="X6" s="47" t="s">
        <v>58</v>
      </c>
      <c r="Y6" s="12">
        <v>239.52</v>
      </c>
      <c r="AA6" s="43"/>
      <c r="AB6" s="43"/>
    </row>
    <row r="7" spans="2:28" x14ac:dyDescent="0.25">
      <c r="C7" s="39" t="s">
        <v>63</v>
      </c>
      <c r="D7" s="39" t="s">
        <v>56</v>
      </c>
      <c r="E7" s="5"/>
      <c r="K7" s="39"/>
      <c r="L7" s="98"/>
      <c r="M7" s="5">
        <v>1</v>
      </c>
      <c r="N7" s="39">
        <v>1</v>
      </c>
      <c r="O7"/>
      <c r="X7" s="47" t="s">
        <v>59</v>
      </c>
      <c r="Y7" s="12">
        <v>122.1</v>
      </c>
      <c r="AA7" s="43"/>
      <c r="AB7" s="43"/>
    </row>
    <row r="8" spans="2:28" x14ac:dyDescent="0.25">
      <c r="D8" s="39" t="s">
        <v>63</v>
      </c>
      <c r="E8" s="5"/>
      <c r="K8" s="39"/>
      <c r="L8" s="98"/>
      <c r="M8" s="18">
        <f>M7*M5</f>
        <v>3</v>
      </c>
      <c r="N8" s="9">
        <f>N7*M5</f>
        <v>3</v>
      </c>
      <c r="O8"/>
      <c r="X8" s="43"/>
      <c r="Y8" s="43"/>
      <c r="Z8" s="43"/>
      <c r="AA8" s="43"/>
      <c r="AB8" s="43"/>
    </row>
    <row r="9" spans="2:28" x14ac:dyDescent="0.25">
      <c r="X9" s="41"/>
      <c r="Y9" s="12" t="s">
        <v>96</v>
      </c>
      <c r="AA9" s="43"/>
      <c r="AB9" s="43"/>
    </row>
    <row r="10" spans="2:28" x14ac:dyDescent="0.25">
      <c r="B10" t="s">
        <v>56</v>
      </c>
      <c r="C10" s="36">
        <v>10</v>
      </c>
      <c r="D10" s="39" t="s">
        <v>55</v>
      </c>
      <c r="E10" s="39">
        <v>3.53</v>
      </c>
      <c r="I10" s="98" t="s">
        <v>32</v>
      </c>
      <c r="J10" s="100">
        <v>30</v>
      </c>
      <c r="K10" s="100"/>
      <c r="L10" s="30"/>
      <c r="M10" s="98" t="s">
        <v>38</v>
      </c>
      <c r="N10" s="100">
        <f>20*4</f>
        <v>80</v>
      </c>
      <c r="O10" s="100"/>
      <c r="Q10" s="98" t="s">
        <v>28</v>
      </c>
      <c r="R10" s="100">
        <f>22*3</f>
        <v>66</v>
      </c>
      <c r="S10" s="100"/>
      <c r="T10" s="100"/>
      <c r="X10" s="41">
        <v>1</v>
      </c>
      <c r="Y10" s="37">
        <v>24</v>
      </c>
      <c r="Z10" s="40">
        <f>D22+C10+C11</f>
        <v>24</v>
      </c>
      <c r="AA10" s="37">
        <f>U20+P27+D22</f>
        <v>24</v>
      </c>
      <c r="AB10" s="43"/>
    </row>
    <row r="11" spans="2:28" ht="18" customHeight="1" x14ac:dyDescent="0.25">
      <c r="B11" t="s">
        <v>63</v>
      </c>
      <c r="C11" s="36">
        <v>13</v>
      </c>
      <c r="D11" s="39" t="s">
        <v>55</v>
      </c>
      <c r="E11" s="39">
        <v>3.24</v>
      </c>
      <c r="I11" s="98"/>
      <c r="J11" s="9" t="s">
        <v>3</v>
      </c>
      <c r="K11" s="9" t="s">
        <v>4</v>
      </c>
      <c r="L11" s="9"/>
      <c r="M11" s="98"/>
      <c r="N11" s="9" t="s">
        <v>3</v>
      </c>
      <c r="O11" s="9" t="s">
        <v>48</v>
      </c>
      <c r="Q11" s="98"/>
      <c r="R11" s="9" t="s">
        <v>3</v>
      </c>
      <c r="S11" s="9" t="s">
        <v>29</v>
      </c>
      <c r="T11" s="9" t="s">
        <v>4</v>
      </c>
      <c r="X11" s="41">
        <v>2</v>
      </c>
      <c r="Y11" s="37">
        <v>12</v>
      </c>
      <c r="Z11" s="37">
        <f>C12+C13</f>
        <v>12</v>
      </c>
      <c r="AA11" s="37">
        <f>V20+L32</f>
        <v>12</v>
      </c>
      <c r="AB11" s="43"/>
    </row>
    <row r="12" spans="2:28" x14ac:dyDescent="0.25">
      <c r="B12" t="s">
        <v>64</v>
      </c>
      <c r="C12" s="36">
        <v>10</v>
      </c>
      <c r="D12" s="39" t="s">
        <v>52</v>
      </c>
      <c r="E12" s="39">
        <v>3.24</v>
      </c>
      <c r="I12" s="98"/>
      <c r="J12" s="5">
        <v>1</v>
      </c>
      <c r="K12" s="39">
        <v>1</v>
      </c>
      <c r="M12" s="98"/>
      <c r="N12" s="5">
        <v>2</v>
      </c>
      <c r="O12" s="39"/>
      <c r="Q12" s="98"/>
      <c r="R12" s="5">
        <v>1</v>
      </c>
      <c r="S12" s="5">
        <v>1</v>
      </c>
      <c r="T12" s="5">
        <v>1</v>
      </c>
      <c r="X12" s="41" t="s">
        <v>3</v>
      </c>
      <c r="Y12" s="45">
        <v>251</v>
      </c>
      <c r="Z12" s="45">
        <f>J13+N13+R13+J20+M8</f>
        <v>256</v>
      </c>
      <c r="AA12" s="53"/>
      <c r="AB12" s="43"/>
    </row>
    <row r="13" spans="2:28" x14ac:dyDescent="0.25">
      <c r="B13" t="s">
        <v>65</v>
      </c>
      <c r="C13" s="36">
        <v>2</v>
      </c>
      <c r="D13" s="39" t="s">
        <v>52</v>
      </c>
      <c r="E13" s="39">
        <v>3.53</v>
      </c>
      <c r="I13" s="98"/>
      <c r="J13" s="18">
        <f>J12*J10</f>
        <v>30</v>
      </c>
      <c r="K13" s="9">
        <f>K12*J10</f>
        <v>30</v>
      </c>
      <c r="M13" s="98"/>
      <c r="N13" s="18">
        <f>N12*N10-4-4+D21+D37</f>
        <v>157</v>
      </c>
      <c r="O13" s="39"/>
      <c r="Q13" s="98"/>
      <c r="R13" s="18">
        <f>R12*R10</f>
        <v>66</v>
      </c>
      <c r="S13" s="18">
        <f>S12*R10</f>
        <v>66</v>
      </c>
      <c r="T13" s="18">
        <f>T12*R10</f>
        <v>66</v>
      </c>
      <c r="X13" s="41" t="s">
        <v>40</v>
      </c>
      <c r="Y13" s="54">
        <v>23</v>
      </c>
      <c r="Z13" s="54">
        <f>R20+N27</f>
        <v>23</v>
      </c>
      <c r="AA13" s="53"/>
      <c r="AB13" s="43"/>
    </row>
    <row r="14" spans="2:28" x14ac:dyDescent="0.25">
      <c r="N14" t="s">
        <v>92</v>
      </c>
      <c r="X14" s="41" t="s">
        <v>57</v>
      </c>
      <c r="Y14" s="54">
        <v>12</v>
      </c>
      <c r="Z14" s="54">
        <f>S20+O27</f>
        <v>12</v>
      </c>
      <c r="AA14" s="53"/>
      <c r="AB14" s="43"/>
    </row>
    <row r="15" spans="2:28" x14ac:dyDescent="0.25">
      <c r="B15" t="s">
        <v>62</v>
      </c>
      <c r="C15" s="39" t="s">
        <v>68</v>
      </c>
      <c r="D15" s="39" t="s">
        <v>70</v>
      </c>
      <c r="E15" s="11">
        <f>C10+C11+D22</f>
        <v>24</v>
      </c>
      <c r="X15" s="41" t="s">
        <v>29</v>
      </c>
      <c r="Y15" s="54">
        <v>66</v>
      </c>
      <c r="Z15" s="54">
        <f>S13</f>
        <v>66</v>
      </c>
      <c r="AA15" s="53" t="s">
        <v>95</v>
      </c>
      <c r="AB15" s="43"/>
    </row>
    <row r="16" spans="2:28" x14ac:dyDescent="0.25">
      <c r="B16" t="s">
        <v>62</v>
      </c>
      <c r="C16" s="39" t="s">
        <v>69</v>
      </c>
      <c r="D16" s="39" t="s">
        <v>71</v>
      </c>
      <c r="E16" s="9">
        <f>C12+C13</f>
        <v>12</v>
      </c>
      <c r="X16" s="41" t="s">
        <v>36</v>
      </c>
      <c r="Y16" s="54">
        <v>32</v>
      </c>
      <c r="Z16" s="54">
        <f>N20+T27</f>
        <v>32</v>
      </c>
      <c r="AA16" s="53">
        <f>Z16+Z17</f>
        <v>35</v>
      </c>
      <c r="AB16" s="43">
        <f>C10+C11+C12+C13</f>
        <v>35</v>
      </c>
    </row>
    <row r="17" spans="2:28" x14ac:dyDescent="0.25">
      <c r="I17" s="98" t="s">
        <v>83</v>
      </c>
      <c r="J17" s="100">
        <v>0</v>
      </c>
      <c r="K17" s="100"/>
      <c r="L17" s="30"/>
      <c r="M17" s="98" t="s">
        <v>35</v>
      </c>
      <c r="N17" s="100">
        <v>17</v>
      </c>
      <c r="O17" s="100"/>
      <c r="Q17" s="98" t="s">
        <v>39</v>
      </c>
      <c r="R17" s="100">
        <v>18</v>
      </c>
      <c r="S17" s="100"/>
      <c r="T17" s="100"/>
      <c r="U17" s="100"/>
      <c r="V17" s="100"/>
      <c r="X17" s="41" t="s">
        <v>47</v>
      </c>
      <c r="Y17" s="54">
        <v>3</v>
      </c>
      <c r="Z17" s="54">
        <f>J27</f>
        <v>3</v>
      </c>
      <c r="AA17" s="53"/>
      <c r="AB17" s="43"/>
    </row>
    <row r="18" spans="2:28" ht="27" x14ac:dyDescent="0.25">
      <c r="B18" t="s">
        <v>61</v>
      </c>
      <c r="C18" s="39">
        <v>1</v>
      </c>
      <c r="D18" s="39" t="s">
        <v>86</v>
      </c>
      <c r="I18" s="98"/>
      <c r="J18" s="9" t="s">
        <v>3</v>
      </c>
      <c r="K18" s="9" t="s">
        <v>48</v>
      </c>
      <c r="L18" s="9"/>
      <c r="M18" s="98"/>
      <c r="N18" s="9" t="s">
        <v>36</v>
      </c>
      <c r="O18" s="9" t="s">
        <v>37</v>
      </c>
      <c r="Q18" s="98"/>
      <c r="R18" s="16" t="s">
        <v>42</v>
      </c>
      <c r="S18" s="16" t="s">
        <v>41</v>
      </c>
      <c r="T18" s="9" t="s">
        <v>4</v>
      </c>
      <c r="U18" s="16" t="s">
        <v>43</v>
      </c>
      <c r="V18" s="16" t="s">
        <v>44</v>
      </c>
      <c r="X18" s="44"/>
      <c r="Y18" s="52"/>
      <c r="Z18" s="52"/>
      <c r="AA18" s="53"/>
      <c r="AB18" s="43"/>
    </row>
    <row r="19" spans="2:28" x14ac:dyDescent="0.25">
      <c r="B19" t="s">
        <v>76</v>
      </c>
      <c r="C19" s="39">
        <v>1</v>
      </c>
      <c r="D19" s="39">
        <f>C19*C18</f>
        <v>1</v>
      </c>
      <c r="E19" s="39" t="s">
        <v>66</v>
      </c>
      <c r="I19" s="98"/>
      <c r="J19" s="5">
        <v>1</v>
      </c>
      <c r="K19" s="5"/>
      <c r="L19" s="5"/>
      <c r="M19" s="98"/>
      <c r="N19" s="5">
        <f>1</f>
        <v>1</v>
      </c>
      <c r="O19" s="5">
        <v>4</v>
      </c>
      <c r="Q19" s="98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41" t="s">
        <v>4</v>
      </c>
      <c r="Y19" s="45">
        <v>127</v>
      </c>
      <c r="Z19" s="45">
        <f>N8+K13+T13+T20+K32</f>
        <v>131</v>
      </c>
      <c r="AA19" s="53" t="s">
        <v>95</v>
      </c>
      <c r="AB19" s="43"/>
    </row>
    <row r="20" spans="2:28" x14ac:dyDescent="0.25">
      <c r="B20" t="s">
        <v>77</v>
      </c>
      <c r="C20" s="39">
        <v>1</v>
      </c>
      <c r="D20" s="39">
        <f>C20*C18</f>
        <v>1</v>
      </c>
      <c r="I20" s="98"/>
      <c r="J20" s="18">
        <f>J19*J17</f>
        <v>0</v>
      </c>
      <c r="K20" s="18"/>
      <c r="L20" s="18"/>
      <c r="M20" s="98"/>
      <c r="N20" s="18">
        <f>N19*N17+(X25*X22)+(X27*X31)+(D26*N19)+D30*N19+D41*N19+D46*N19+D50*N19+D55*N19</f>
        <v>29</v>
      </c>
      <c r="O20" s="18">
        <f>N20*O19</f>
        <v>116</v>
      </c>
      <c r="Q20" s="98"/>
      <c r="R20" s="9">
        <f>R19*R17+D19*R19+D33*R19</f>
        <v>20</v>
      </c>
      <c r="S20" s="9">
        <f>S19*D25+D29*S19+D40*S19+D44*S19+D50*S19+D53*S19</f>
        <v>12</v>
      </c>
      <c r="T20" s="9">
        <f>R17+D19+D25+D29+D33+D40+D44+D49+D53</f>
        <v>32</v>
      </c>
      <c r="U20" s="9">
        <f>R20*U19</f>
        <v>20</v>
      </c>
      <c r="V20" s="9">
        <f>S20*V19</f>
        <v>12</v>
      </c>
      <c r="X20" s="41" t="s">
        <v>37</v>
      </c>
      <c r="Y20" s="54">
        <v>128</v>
      </c>
      <c r="Z20" s="54">
        <f>O20+U27</f>
        <v>128</v>
      </c>
      <c r="AA20" s="53"/>
      <c r="AB20" s="43"/>
    </row>
    <row r="21" spans="2:28" x14ac:dyDescent="0.25">
      <c r="B21" t="s">
        <v>78</v>
      </c>
      <c r="C21" s="39">
        <v>1</v>
      </c>
      <c r="D21" s="39">
        <f>C21*C18</f>
        <v>1</v>
      </c>
      <c r="F21" s="39" t="s">
        <v>91</v>
      </c>
      <c r="X21" s="41"/>
      <c r="AA21" s="43"/>
      <c r="AB21" s="43"/>
    </row>
    <row r="22" spans="2:28" x14ac:dyDescent="0.25">
      <c r="B22" t="s">
        <v>68</v>
      </c>
      <c r="C22" s="39">
        <v>1</v>
      </c>
      <c r="D22" s="11">
        <f>C22*C18</f>
        <v>1</v>
      </c>
      <c r="X22" s="41"/>
      <c r="AA22" s="43"/>
      <c r="AB22" s="43"/>
    </row>
    <row r="23" spans="2:28" x14ac:dyDescent="0.25">
      <c r="X23" s="41"/>
      <c r="AA23" s="43"/>
      <c r="AB23" s="43"/>
    </row>
    <row r="24" spans="2:28" x14ac:dyDescent="0.25">
      <c r="B24" t="s">
        <v>51</v>
      </c>
      <c r="C24" s="39">
        <v>1</v>
      </c>
      <c r="D24" s="39" t="s">
        <v>84</v>
      </c>
      <c r="I24" s="98" t="s">
        <v>46</v>
      </c>
      <c r="J24" s="100">
        <v>2</v>
      </c>
      <c r="K24" s="100"/>
      <c r="M24" s="98" t="s">
        <v>49</v>
      </c>
      <c r="N24" s="100">
        <v>2</v>
      </c>
      <c r="O24" s="100"/>
      <c r="P24" s="100"/>
      <c r="Q24" s="100"/>
      <c r="R24" s="31"/>
      <c r="S24" s="98" t="s">
        <v>54</v>
      </c>
      <c r="T24" s="100">
        <v>1</v>
      </c>
      <c r="U24" s="100"/>
    </row>
    <row r="25" spans="2:28" ht="27" x14ac:dyDescent="0.25">
      <c r="B25" s="21" t="s">
        <v>76</v>
      </c>
      <c r="C25" s="39">
        <v>2</v>
      </c>
      <c r="D25" s="39">
        <f>C25*C24</f>
        <v>2</v>
      </c>
      <c r="I25" s="98"/>
      <c r="J25" s="9" t="s">
        <v>47</v>
      </c>
      <c r="K25" s="9" t="s">
        <v>48</v>
      </c>
      <c r="M25" s="98"/>
      <c r="N25" s="16" t="s">
        <v>42</v>
      </c>
      <c r="O25" s="16" t="s">
        <v>41</v>
      </c>
      <c r="P25" s="16" t="s">
        <v>43</v>
      </c>
      <c r="Q25" s="16" t="s">
        <v>44</v>
      </c>
      <c r="R25" s="16"/>
      <c r="S25" s="98"/>
      <c r="T25" s="9" t="s">
        <v>36</v>
      </c>
      <c r="U25" s="9" t="s">
        <v>37</v>
      </c>
    </row>
    <row r="26" spans="2:28" x14ac:dyDescent="0.25">
      <c r="B26" s="21" t="s">
        <v>79</v>
      </c>
      <c r="C26" s="39">
        <v>2</v>
      </c>
      <c r="D26" s="39">
        <f>C26*C24</f>
        <v>2</v>
      </c>
      <c r="I26" s="98"/>
      <c r="J26" s="5">
        <v>1</v>
      </c>
      <c r="M26" s="98"/>
      <c r="N26" s="5">
        <v>1</v>
      </c>
      <c r="O26" s="5" t="s">
        <v>26</v>
      </c>
      <c r="P26" s="5">
        <f>N26</f>
        <v>1</v>
      </c>
      <c r="Q26" s="5" t="s">
        <v>26</v>
      </c>
      <c r="R26" s="5"/>
      <c r="S26" s="98"/>
      <c r="T26" s="5">
        <v>1</v>
      </c>
      <c r="U26" s="5">
        <f>T26*4</f>
        <v>4</v>
      </c>
    </row>
    <row r="27" spans="2:28" x14ac:dyDescent="0.25">
      <c r="I27" s="98"/>
      <c r="J27" s="18">
        <f>J26*J24+D36*J26</f>
        <v>3</v>
      </c>
      <c r="M27" s="98"/>
      <c r="N27" s="9">
        <f>N26*N24+D34*N26</f>
        <v>3</v>
      </c>
      <c r="O27" s="9"/>
      <c r="P27" s="9">
        <f>N27*P26</f>
        <v>3</v>
      </c>
      <c r="S27" s="98"/>
      <c r="T27" s="18">
        <f>D20*T26+D35*T26+T24</f>
        <v>3</v>
      </c>
      <c r="U27" s="18">
        <f>T27*U26</f>
        <v>12</v>
      </c>
    </row>
    <row r="28" spans="2:28" x14ac:dyDescent="0.25">
      <c r="B28" t="s">
        <v>50</v>
      </c>
      <c r="C28" s="39">
        <v>5</v>
      </c>
      <c r="D28" s="39" t="s">
        <v>84</v>
      </c>
    </row>
    <row r="29" spans="2:28" x14ac:dyDescent="0.25">
      <c r="B29" t="s">
        <v>76</v>
      </c>
      <c r="C29" s="39">
        <v>2</v>
      </c>
      <c r="D29" s="39">
        <f>C29*C28</f>
        <v>10</v>
      </c>
      <c r="I29" s="98" t="s">
        <v>87</v>
      </c>
      <c r="J29" s="103"/>
      <c r="K29" s="103"/>
      <c r="L29" s="103"/>
    </row>
    <row r="30" spans="2:28" x14ac:dyDescent="0.25">
      <c r="B30" t="s">
        <v>79</v>
      </c>
      <c r="C30" s="39">
        <v>2</v>
      </c>
      <c r="D30" s="39">
        <f>C30*C28</f>
        <v>10</v>
      </c>
      <c r="I30" s="98"/>
      <c r="J30" s="18" t="s">
        <v>88</v>
      </c>
      <c r="K30" s="18" t="s">
        <v>4</v>
      </c>
      <c r="L30" s="18">
        <v>2</v>
      </c>
    </row>
    <row r="31" spans="2:28" x14ac:dyDescent="0.25">
      <c r="I31" s="98"/>
      <c r="J31" s="5">
        <v>2</v>
      </c>
      <c r="K31" s="5">
        <v>2</v>
      </c>
      <c r="L31" s="5">
        <v>1</v>
      </c>
    </row>
    <row r="32" spans="2:28" x14ac:dyDescent="0.25">
      <c r="B32" t="s">
        <v>53</v>
      </c>
      <c r="C32" s="39">
        <v>1</v>
      </c>
      <c r="D32" s="33" t="s">
        <v>85</v>
      </c>
      <c r="I32" s="98"/>
      <c r="J32" s="9">
        <f>J31*D45+D54*J31</f>
        <v>0</v>
      </c>
      <c r="K32" s="9">
        <f>D45*K31+D54*K31</f>
        <v>0</v>
      </c>
      <c r="L32" s="9">
        <f>D45*L31+D54*L31</f>
        <v>0</v>
      </c>
    </row>
    <row r="33" spans="2:26" x14ac:dyDescent="0.25">
      <c r="B33" t="s">
        <v>76</v>
      </c>
      <c r="C33" s="39">
        <v>1</v>
      </c>
      <c r="D33" s="39">
        <f>C33*C32</f>
        <v>1</v>
      </c>
      <c r="E33" s="39" t="s">
        <v>66</v>
      </c>
    </row>
    <row r="34" spans="2:26" x14ac:dyDescent="0.25">
      <c r="B34" t="s">
        <v>80</v>
      </c>
      <c r="C34" s="39">
        <v>1</v>
      </c>
      <c r="D34" s="39">
        <f>C34*C32</f>
        <v>1</v>
      </c>
    </row>
    <row r="35" spans="2:26" x14ac:dyDescent="0.25">
      <c r="B35" t="s">
        <v>77</v>
      </c>
      <c r="C35" s="39">
        <v>1</v>
      </c>
      <c r="D35" s="39">
        <f>C35*C32</f>
        <v>1</v>
      </c>
      <c r="I35" s="98"/>
      <c r="J35" s="98"/>
      <c r="K35" s="98"/>
      <c r="N35" s="98" t="s">
        <v>38</v>
      </c>
      <c r="O35" s="100"/>
      <c r="P35" s="100"/>
      <c r="R35" s="98" t="s">
        <v>28</v>
      </c>
      <c r="S35" s="100"/>
      <c r="T35" s="100"/>
      <c r="U35" s="100"/>
      <c r="W35" s="98" t="s">
        <v>83</v>
      </c>
      <c r="X35" s="100"/>
      <c r="Y35" s="100"/>
      <c r="Z35" s="12"/>
    </row>
    <row r="36" spans="2:26" x14ac:dyDescent="0.25">
      <c r="B36" t="s">
        <v>81</v>
      </c>
      <c r="C36" s="39">
        <v>1</v>
      </c>
      <c r="D36" s="39">
        <f>C36*C32</f>
        <v>1</v>
      </c>
      <c r="I36" s="98" t="s">
        <v>32</v>
      </c>
      <c r="J36" s="101" t="s">
        <v>98</v>
      </c>
      <c r="K36" s="101"/>
      <c r="N36" s="98"/>
      <c r="O36" s="9" t="s">
        <v>30</v>
      </c>
      <c r="P36" s="9" t="s">
        <v>31</v>
      </c>
      <c r="R36" s="98"/>
      <c r="S36" s="9" t="s">
        <v>31</v>
      </c>
      <c r="T36" s="9" t="s">
        <v>30</v>
      </c>
      <c r="U36" s="9"/>
      <c r="W36" s="98"/>
      <c r="X36" s="9" t="s">
        <v>58</v>
      </c>
      <c r="Y36" s="11"/>
      <c r="Z36" s="12"/>
    </row>
    <row r="37" spans="2:26" x14ac:dyDescent="0.25">
      <c r="B37" t="s">
        <v>78</v>
      </c>
      <c r="C37" s="39">
        <v>4</v>
      </c>
      <c r="D37" s="39">
        <f>C37*C32</f>
        <v>4</v>
      </c>
      <c r="F37" s="39" t="s">
        <v>91</v>
      </c>
      <c r="I37" s="98"/>
      <c r="J37" s="5"/>
      <c r="K37" s="5">
        <f t="shared" ref="K37:K52" si="0">J37*3</f>
        <v>0</v>
      </c>
      <c r="L37" s="102" t="s">
        <v>99</v>
      </c>
      <c r="N37" s="98"/>
      <c r="O37" s="5">
        <v>2</v>
      </c>
      <c r="P37" s="39">
        <v>2</v>
      </c>
      <c r="R37" s="98"/>
      <c r="S37" s="5">
        <v>1</v>
      </c>
      <c r="T37" s="5">
        <v>1</v>
      </c>
      <c r="U37" s="5"/>
      <c r="W37" s="98"/>
      <c r="X37" s="5">
        <v>0.48</v>
      </c>
      <c r="Y37" s="42">
        <f>X37*3</f>
        <v>1.44</v>
      </c>
      <c r="Z37" s="12"/>
    </row>
    <row r="38" spans="2:26" x14ac:dyDescent="0.25">
      <c r="I38" s="98"/>
      <c r="J38" s="5"/>
      <c r="K38" s="5">
        <f t="shared" si="0"/>
        <v>0</v>
      </c>
      <c r="L38" s="102"/>
      <c r="N38" s="98"/>
      <c r="O38" s="18">
        <f>N12*N10-4-4+D21+D37</f>
        <v>157</v>
      </c>
      <c r="P38" s="9">
        <f>O38</f>
        <v>157</v>
      </c>
      <c r="R38" s="98"/>
      <c r="S38" s="18">
        <f>R12*R10</f>
        <v>66</v>
      </c>
      <c r="T38" s="18">
        <f>S38</f>
        <v>66</v>
      </c>
      <c r="U38" s="18"/>
      <c r="W38" s="98"/>
      <c r="X38" s="49">
        <v>2.74</v>
      </c>
      <c r="Y38" s="51">
        <f>X38*3</f>
        <v>8.2200000000000006</v>
      </c>
      <c r="Z38" s="12"/>
    </row>
    <row r="39" spans="2:26" x14ac:dyDescent="0.25">
      <c r="B39" t="s">
        <v>72</v>
      </c>
      <c r="C39" s="39">
        <v>0</v>
      </c>
      <c r="D39" s="39" t="s">
        <v>84</v>
      </c>
      <c r="I39" s="98"/>
      <c r="K39" s="39">
        <f t="shared" si="0"/>
        <v>0</v>
      </c>
      <c r="L39" s="102"/>
      <c r="O39"/>
      <c r="P39" s="5"/>
      <c r="X39"/>
      <c r="Y39" s="11">
        <f>SUM(Y37:Y38)</f>
        <v>9.66</v>
      </c>
      <c r="Z39" s="12"/>
    </row>
    <row r="40" spans="2:26" x14ac:dyDescent="0.25">
      <c r="B40" t="s">
        <v>76</v>
      </c>
      <c r="C40" s="39">
        <v>2</v>
      </c>
      <c r="D40" s="39">
        <f>C40*C39</f>
        <v>0</v>
      </c>
      <c r="I40" s="98"/>
      <c r="J40" s="5"/>
      <c r="K40" s="39">
        <f t="shared" si="0"/>
        <v>0</v>
      </c>
      <c r="L40" s="102"/>
      <c r="O40"/>
      <c r="P40" s="5"/>
      <c r="X40"/>
      <c r="Y40" s="41"/>
      <c r="Z40" s="12"/>
    </row>
    <row r="41" spans="2:26" x14ac:dyDescent="0.25">
      <c r="B41" t="s">
        <v>79</v>
      </c>
      <c r="C41" s="39">
        <v>2</v>
      </c>
      <c r="D41" s="39">
        <f>C41*C39</f>
        <v>0</v>
      </c>
      <c r="I41" s="98"/>
      <c r="K41" s="39">
        <f t="shared" si="0"/>
        <v>0</v>
      </c>
      <c r="L41" s="102"/>
      <c r="O41"/>
      <c r="P41" s="5"/>
      <c r="X41"/>
      <c r="Y41" s="41"/>
      <c r="Z41" s="12"/>
    </row>
    <row r="42" spans="2:26" x14ac:dyDescent="0.25">
      <c r="I42" s="98"/>
      <c r="K42" s="39">
        <f t="shared" si="0"/>
        <v>0</v>
      </c>
      <c r="L42" s="102"/>
      <c r="O42"/>
      <c r="P42" s="5"/>
      <c r="X42"/>
      <c r="Y42" s="41"/>
      <c r="Z42" s="12"/>
    </row>
    <row r="43" spans="2:26" x14ac:dyDescent="0.25">
      <c r="B43" t="s">
        <v>73</v>
      </c>
      <c r="C43" s="39">
        <v>0</v>
      </c>
      <c r="D43" s="39" t="s">
        <v>84</v>
      </c>
      <c r="I43" s="98"/>
      <c r="K43" s="39">
        <f t="shared" si="0"/>
        <v>0</v>
      </c>
      <c r="O43"/>
      <c r="P43" s="5"/>
      <c r="X43"/>
      <c r="Y43" s="41"/>
      <c r="Z43" s="12"/>
    </row>
    <row r="44" spans="2:26" x14ac:dyDescent="0.25">
      <c r="B44" t="s">
        <v>76</v>
      </c>
      <c r="C44" s="39">
        <v>1</v>
      </c>
      <c r="D44" s="39">
        <f>C44*C43</f>
        <v>0</v>
      </c>
      <c r="I44" s="98"/>
      <c r="K44" s="39">
        <f t="shared" si="0"/>
        <v>0</v>
      </c>
      <c r="O44"/>
      <c r="P44" s="5"/>
      <c r="X44"/>
      <c r="Y44" s="41"/>
      <c r="Z44" s="12"/>
    </row>
    <row r="45" spans="2:26" x14ac:dyDescent="0.25">
      <c r="B45" t="s">
        <v>82</v>
      </c>
      <c r="C45" s="39">
        <v>1</v>
      </c>
      <c r="D45" s="39">
        <f>C45*C43</f>
        <v>0</v>
      </c>
      <c r="I45" s="98"/>
      <c r="K45" s="39">
        <f t="shared" si="0"/>
        <v>0</v>
      </c>
      <c r="O45"/>
      <c r="P45" s="5"/>
      <c r="X45"/>
      <c r="Y45" s="41"/>
      <c r="Z45" s="12"/>
    </row>
    <row r="46" spans="2:26" x14ac:dyDescent="0.25">
      <c r="B46" t="s">
        <v>79</v>
      </c>
      <c r="C46" s="39">
        <v>1</v>
      </c>
      <c r="D46" s="39">
        <f>C46*C43</f>
        <v>0</v>
      </c>
      <c r="I46" s="98"/>
      <c r="K46" s="39">
        <f t="shared" si="0"/>
        <v>0</v>
      </c>
      <c r="O46"/>
      <c r="P46" s="5"/>
      <c r="X46"/>
      <c r="Y46" s="41"/>
      <c r="Z46" s="12"/>
    </row>
    <row r="47" spans="2:26" x14ac:dyDescent="0.25">
      <c r="I47" s="98"/>
      <c r="K47" s="39">
        <f t="shared" si="0"/>
        <v>0</v>
      </c>
      <c r="O47"/>
      <c r="P47" s="5"/>
      <c r="X47"/>
      <c r="Y47" s="41"/>
      <c r="Z47" s="12"/>
    </row>
    <row r="48" spans="2:26" x14ac:dyDescent="0.25">
      <c r="B48" t="s">
        <v>74</v>
      </c>
      <c r="C48" s="39">
        <v>0</v>
      </c>
      <c r="D48" s="39" t="s">
        <v>89</v>
      </c>
      <c r="I48" s="98"/>
      <c r="K48" s="39">
        <f t="shared" si="0"/>
        <v>0</v>
      </c>
      <c r="O48"/>
      <c r="P48" s="5"/>
      <c r="X48"/>
      <c r="Y48" s="41"/>
      <c r="Z48" s="12"/>
    </row>
    <row r="49" spans="2:26" x14ac:dyDescent="0.25">
      <c r="B49" t="s">
        <v>76</v>
      </c>
      <c r="C49" s="39">
        <v>2</v>
      </c>
      <c r="D49" s="39">
        <f>C49*C48</f>
        <v>0</v>
      </c>
      <c r="I49" s="98"/>
      <c r="K49" s="39">
        <f t="shared" si="0"/>
        <v>0</v>
      </c>
      <c r="O49"/>
      <c r="P49" s="5"/>
      <c r="X49"/>
      <c r="Y49" s="41"/>
      <c r="Z49" s="12"/>
    </row>
    <row r="50" spans="2:26" x14ac:dyDescent="0.25">
      <c r="B50" t="s">
        <v>79</v>
      </c>
      <c r="C50" s="39">
        <v>2</v>
      </c>
      <c r="D50" s="39">
        <f>C50*C48</f>
        <v>0</v>
      </c>
      <c r="I50" s="98"/>
      <c r="K50" s="39">
        <f t="shared" si="0"/>
        <v>0</v>
      </c>
      <c r="O50"/>
      <c r="P50" s="5"/>
      <c r="X50"/>
      <c r="Y50" s="41"/>
      <c r="Z50" s="12"/>
    </row>
    <row r="51" spans="2:26" x14ac:dyDescent="0.25">
      <c r="I51" s="98"/>
      <c r="K51" s="39">
        <f t="shared" si="0"/>
        <v>0</v>
      </c>
      <c r="O51"/>
      <c r="P51" s="5"/>
      <c r="X51"/>
      <c r="Y51" s="41"/>
      <c r="Z51" s="12"/>
    </row>
    <row r="52" spans="2:26" x14ac:dyDescent="0.25">
      <c r="B52" t="s">
        <v>75</v>
      </c>
      <c r="C52" s="39">
        <v>0</v>
      </c>
      <c r="D52" s="39" t="s">
        <v>84</v>
      </c>
      <c r="I52" s="98"/>
      <c r="K52" s="39">
        <f t="shared" si="0"/>
        <v>0</v>
      </c>
      <c r="O52"/>
      <c r="P52" s="5"/>
      <c r="X52"/>
      <c r="Y52" s="41"/>
      <c r="Z52" s="12"/>
    </row>
    <row r="53" spans="2:26" x14ac:dyDescent="0.25">
      <c r="B53" t="s">
        <v>76</v>
      </c>
      <c r="C53" s="39">
        <v>1</v>
      </c>
      <c r="D53" s="39">
        <f>C53*C52</f>
        <v>0</v>
      </c>
      <c r="K53" s="9">
        <f>SUM(K37:K52)</f>
        <v>0</v>
      </c>
      <c r="O53"/>
      <c r="P53" s="5"/>
      <c r="X53"/>
      <c r="Y53" s="41"/>
      <c r="Z53" s="12"/>
    </row>
    <row r="54" spans="2:26" x14ac:dyDescent="0.25">
      <c r="B54" t="s">
        <v>82</v>
      </c>
      <c r="C54" s="39">
        <v>1</v>
      </c>
      <c r="D54" s="39">
        <f>C54*C52</f>
        <v>0</v>
      </c>
      <c r="K54" s="39"/>
      <c r="O54"/>
      <c r="P54" s="5"/>
      <c r="X54"/>
      <c r="Y54" s="41"/>
      <c r="Z54" s="12"/>
    </row>
    <row r="55" spans="2:26" x14ac:dyDescent="0.25">
      <c r="B55" t="s">
        <v>79</v>
      </c>
      <c r="C55" s="39">
        <v>1</v>
      </c>
      <c r="D55" s="39">
        <f>C55*C52</f>
        <v>0</v>
      </c>
      <c r="K55" s="39"/>
      <c r="O55"/>
      <c r="P55" s="5"/>
      <c r="X55"/>
      <c r="Y55" s="41"/>
      <c r="Z55" s="12"/>
    </row>
    <row r="56" spans="2:26" x14ac:dyDescent="0.25">
      <c r="I56" s="98"/>
      <c r="J56" s="98"/>
      <c r="K56" s="98"/>
      <c r="O56"/>
      <c r="P56" s="5"/>
      <c r="X56"/>
      <c r="Y56" s="41"/>
      <c r="Z56" s="12"/>
    </row>
    <row r="57" spans="2:26" x14ac:dyDescent="0.25">
      <c r="I57" s="98" t="s">
        <v>38</v>
      </c>
      <c r="J57" s="101" t="s">
        <v>60</v>
      </c>
      <c r="K57" s="101"/>
      <c r="O57"/>
      <c r="P57" s="5"/>
      <c r="X57"/>
      <c r="Y57" s="41"/>
      <c r="Z57" s="12"/>
    </row>
    <row r="58" spans="2:26" x14ac:dyDescent="0.25">
      <c r="I58" s="98"/>
      <c r="J58" s="5"/>
      <c r="K58" s="5"/>
      <c r="L58" s="48"/>
      <c r="O58"/>
      <c r="P58" s="5"/>
      <c r="X58"/>
      <c r="Y58" s="41"/>
      <c r="Z58" s="12"/>
    </row>
    <row r="59" spans="2:26" x14ac:dyDescent="0.25">
      <c r="I59" s="98"/>
      <c r="J59" s="5"/>
      <c r="K59" s="5"/>
      <c r="L59" s="48"/>
      <c r="O59"/>
      <c r="P59" s="5"/>
      <c r="X59"/>
      <c r="Y59" s="41"/>
      <c r="Z59" s="12"/>
    </row>
    <row r="60" spans="2:26" x14ac:dyDescent="0.25">
      <c r="I60" s="98"/>
      <c r="K60" s="39"/>
      <c r="L60" s="48"/>
      <c r="O60"/>
      <c r="P60" s="5"/>
      <c r="X60"/>
      <c r="Y60" s="41"/>
      <c r="Z60" s="12"/>
    </row>
    <row r="61" spans="2:26" x14ac:dyDescent="0.25">
      <c r="I61" s="98"/>
      <c r="J61" s="5"/>
      <c r="K61" s="39"/>
      <c r="L61" s="48"/>
      <c r="M61" t="s">
        <v>56</v>
      </c>
      <c r="N61" s="39">
        <v>3.53</v>
      </c>
      <c r="O61" s="39"/>
      <c r="P61" s="39"/>
      <c r="X61"/>
      <c r="Y61" s="41"/>
      <c r="Z61" s="12"/>
    </row>
    <row r="62" spans="2:26" x14ac:dyDescent="0.25">
      <c r="I62" s="98"/>
      <c r="J62" s="5"/>
      <c r="K62" s="39"/>
      <c r="L62" s="48"/>
      <c r="M62" t="s">
        <v>63</v>
      </c>
      <c r="N62" s="39">
        <v>3.24</v>
      </c>
      <c r="O62" s="39"/>
      <c r="P62" s="39"/>
      <c r="X62"/>
      <c r="Y62" s="41"/>
      <c r="Z62" s="12"/>
    </row>
    <row r="63" spans="2:26" x14ac:dyDescent="0.25">
      <c r="I63" s="98"/>
      <c r="K63" s="39"/>
      <c r="L63" s="48"/>
      <c r="M63" t="s">
        <v>64</v>
      </c>
      <c r="N63" s="39">
        <v>3.24</v>
      </c>
      <c r="O63" s="39"/>
      <c r="P63" s="39"/>
      <c r="X63"/>
      <c r="Y63" s="41"/>
      <c r="Z63" s="12"/>
    </row>
    <row r="64" spans="2:26" x14ac:dyDescent="0.25">
      <c r="I64" s="98"/>
      <c r="K64" s="39"/>
      <c r="L64" s="48"/>
      <c r="M64" t="s">
        <v>65</v>
      </c>
      <c r="N64" s="39">
        <v>3.53</v>
      </c>
      <c r="O64" s="39"/>
      <c r="P64" s="39"/>
      <c r="X64"/>
      <c r="Y64" s="41"/>
      <c r="Z64" s="12"/>
    </row>
    <row r="65" spans="9:26" x14ac:dyDescent="0.25">
      <c r="I65" s="98"/>
      <c r="K65" s="39"/>
      <c r="N65" s="39"/>
      <c r="O65" s="39"/>
      <c r="P65" s="39"/>
      <c r="X65"/>
      <c r="Y65" s="41"/>
      <c r="Z65" s="12"/>
    </row>
    <row r="66" spans="9:26" x14ac:dyDescent="0.25">
      <c r="I66" s="98"/>
      <c r="K66" s="39"/>
      <c r="O66"/>
      <c r="P66" s="5"/>
      <c r="X66"/>
      <c r="Y66" s="41"/>
      <c r="Z66" s="12"/>
    </row>
    <row r="67" spans="9:26" x14ac:dyDescent="0.25">
      <c r="I67" s="98"/>
      <c r="K67" s="39"/>
      <c r="O67"/>
      <c r="P67" s="5"/>
      <c r="X67"/>
      <c r="Y67" s="41"/>
      <c r="Z67" s="12"/>
    </row>
    <row r="68" spans="9:26" x14ac:dyDescent="0.25">
      <c r="I68" s="98"/>
      <c r="K68" s="39"/>
      <c r="O68"/>
      <c r="P68" s="5"/>
      <c r="X68"/>
      <c r="Y68" s="41"/>
      <c r="Z68" s="12"/>
    </row>
    <row r="69" spans="9:26" x14ac:dyDescent="0.25">
      <c r="I69" s="98"/>
      <c r="K69" s="39"/>
      <c r="O69"/>
      <c r="P69" s="5"/>
      <c r="X69"/>
      <c r="Y69" s="41"/>
      <c r="Z69" s="12"/>
    </row>
    <row r="70" spans="9:26" x14ac:dyDescent="0.25">
      <c r="I70" s="98"/>
      <c r="K70" s="39"/>
      <c r="O70"/>
      <c r="P70" s="5"/>
      <c r="X70"/>
      <c r="Y70" s="41"/>
      <c r="Z70" s="12"/>
    </row>
    <row r="71" spans="9:26" x14ac:dyDescent="0.25">
      <c r="I71" s="98"/>
      <c r="K71" s="39"/>
      <c r="O71"/>
      <c r="P71" s="5"/>
      <c r="X71"/>
      <c r="Y71" s="41"/>
      <c r="Z71" s="12"/>
    </row>
    <row r="72" spans="9:26" x14ac:dyDescent="0.25">
      <c r="I72" s="98"/>
      <c r="K72" s="39"/>
      <c r="O72"/>
      <c r="P72" s="5"/>
      <c r="X72"/>
      <c r="Y72" s="41"/>
      <c r="Z72" s="12"/>
    </row>
    <row r="73" spans="9:26" x14ac:dyDescent="0.25">
      <c r="I73" s="98"/>
      <c r="K73" s="39"/>
      <c r="O73"/>
      <c r="P73" s="5"/>
      <c r="X73"/>
      <c r="Y73" s="41"/>
      <c r="Z73" s="12"/>
    </row>
  </sheetData>
  <mergeCells count="35">
    <mergeCell ref="I56:K56"/>
    <mergeCell ref="I57:I73"/>
    <mergeCell ref="J57:K57"/>
    <mergeCell ref="L5:L8"/>
    <mergeCell ref="M5:N5"/>
    <mergeCell ref="I29:I32"/>
    <mergeCell ref="J29:L29"/>
    <mergeCell ref="I24:I27"/>
    <mergeCell ref="J24:K24"/>
    <mergeCell ref="M24:M27"/>
    <mergeCell ref="N24:Q24"/>
    <mergeCell ref="I10:I13"/>
    <mergeCell ref="J10:K10"/>
    <mergeCell ref="M10:M13"/>
    <mergeCell ref="N10:O10"/>
    <mergeCell ref="Q10:Q13"/>
    <mergeCell ref="S35:U35"/>
    <mergeCell ref="W35:W38"/>
    <mergeCell ref="X35:Y35"/>
    <mergeCell ref="I36:I52"/>
    <mergeCell ref="J36:K36"/>
    <mergeCell ref="L37:L42"/>
    <mergeCell ref="I35:K35"/>
    <mergeCell ref="N35:N38"/>
    <mergeCell ref="O35:P35"/>
    <mergeCell ref="R35:R38"/>
    <mergeCell ref="R10:T10"/>
    <mergeCell ref="S24:S27"/>
    <mergeCell ref="T24:U24"/>
    <mergeCell ref="I17:I20"/>
    <mergeCell ref="J17:K17"/>
    <mergeCell ref="M17:M20"/>
    <mergeCell ref="N17:O17"/>
    <mergeCell ref="Q17:Q20"/>
    <mergeCell ref="R17:V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75"/>
  <sheetViews>
    <sheetView zoomScale="85" zoomScaleNormal="85" workbookViewId="0">
      <selection activeCell="Z12" sqref="Z12"/>
    </sheetView>
  </sheetViews>
  <sheetFormatPr defaultRowHeight="15" x14ac:dyDescent="0.25"/>
  <cols>
    <col min="3" max="3" width="9.140625" style="20"/>
    <col min="4" max="4" width="10.7109375" style="20" customWidth="1"/>
    <col min="5" max="10" width="9.140625" style="20"/>
    <col min="15" max="15" width="9.140625" style="5"/>
    <col min="24" max="24" width="9.140625" style="34"/>
    <col min="25" max="25" width="9.140625" style="23"/>
    <col min="26" max="26" width="9.140625" style="5"/>
  </cols>
  <sheetData>
    <row r="1" spans="2:28" x14ac:dyDescent="0.25">
      <c r="J1" s="20" t="s">
        <v>67</v>
      </c>
    </row>
    <row r="2" spans="2:28" x14ac:dyDescent="0.25">
      <c r="B2" t="s">
        <v>34</v>
      </c>
      <c r="C2" s="20">
        <v>1.1000000000000001</v>
      </c>
      <c r="D2" s="20">
        <v>1.1000000000000001</v>
      </c>
      <c r="E2" s="20">
        <v>1.1000000000000001</v>
      </c>
      <c r="F2" s="20">
        <v>1.1000000000000001</v>
      </c>
      <c r="G2" s="20">
        <v>1.89</v>
      </c>
      <c r="H2" s="20">
        <v>1.8</v>
      </c>
      <c r="I2" s="20">
        <v>2</v>
      </c>
      <c r="J2" s="20">
        <v>1.115</v>
      </c>
      <c r="K2" s="20">
        <v>1.0900000000000001</v>
      </c>
      <c r="L2" s="20">
        <v>2</v>
      </c>
      <c r="M2" s="20">
        <v>2</v>
      </c>
      <c r="N2" s="20">
        <v>1.1000000000000001</v>
      </c>
      <c r="O2" s="25">
        <f>SUM(C2:N2)+J2</f>
        <v>18.510000000000002</v>
      </c>
      <c r="Y2" s="23" t="s">
        <v>96</v>
      </c>
    </row>
    <row r="3" spans="2:28" x14ac:dyDescent="0.25">
      <c r="C3" s="20" t="s">
        <v>64</v>
      </c>
      <c r="D3" s="20" t="s">
        <v>64</v>
      </c>
      <c r="E3" s="20" t="s">
        <v>64</v>
      </c>
      <c r="F3" s="20" t="s">
        <v>64</v>
      </c>
      <c r="G3" s="20" t="s">
        <v>64</v>
      </c>
      <c r="H3" s="20" t="s">
        <v>64</v>
      </c>
      <c r="I3" s="20" t="s">
        <v>64</v>
      </c>
      <c r="J3" s="20" t="s">
        <v>65</v>
      </c>
      <c r="K3" s="20" t="s">
        <v>64</v>
      </c>
      <c r="L3" s="20" t="s">
        <v>64</v>
      </c>
      <c r="M3" s="20" t="s">
        <v>64</v>
      </c>
      <c r="N3" s="20" t="s">
        <v>64</v>
      </c>
      <c r="X3" s="47" t="s">
        <v>31</v>
      </c>
      <c r="Y3" s="23">
        <v>172</v>
      </c>
      <c r="Z3" s="5">
        <f>O38+R38</f>
        <v>171</v>
      </c>
    </row>
    <row r="4" spans="2:28" x14ac:dyDescent="0.25">
      <c r="C4" s="20" t="s">
        <v>64</v>
      </c>
      <c r="D4" s="20" t="s">
        <v>64</v>
      </c>
      <c r="E4" s="20" t="s">
        <v>64</v>
      </c>
      <c r="F4" s="20" t="s">
        <v>64</v>
      </c>
      <c r="H4" s="20" t="s">
        <v>64</v>
      </c>
      <c r="I4" s="20" t="s">
        <v>64</v>
      </c>
      <c r="J4" s="20" t="s">
        <v>65</v>
      </c>
      <c r="L4" s="20" t="s">
        <v>64</v>
      </c>
      <c r="M4" s="20" t="s">
        <v>64</v>
      </c>
      <c r="N4" s="20" t="s">
        <v>64</v>
      </c>
      <c r="X4" s="47" t="s">
        <v>30</v>
      </c>
      <c r="Y4" s="23">
        <v>172</v>
      </c>
      <c r="Z4" s="5">
        <f>N38+S38</f>
        <v>171</v>
      </c>
    </row>
    <row r="5" spans="2:28" x14ac:dyDescent="0.25">
      <c r="X5" s="47" t="s">
        <v>58</v>
      </c>
      <c r="Y5" s="23">
        <v>171.3</v>
      </c>
      <c r="Z5" s="5">
        <f>J53+X39</f>
        <v>165.30000000000004</v>
      </c>
    </row>
    <row r="6" spans="2:28" x14ac:dyDescent="0.25">
      <c r="B6" t="s">
        <v>33</v>
      </c>
      <c r="C6" s="20">
        <v>1.35</v>
      </c>
      <c r="D6" s="20">
        <v>1.75</v>
      </c>
      <c r="E6" s="20">
        <v>1.59</v>
      </c>
      <c r="F6" s="19">
        <f>SUM(C6:E6)</f>
        <v>4.6900000000000004</v>
      </c>
      <c r="X6" s="47" t="s">
        <v>59</v>
      </c>
      <c r="Y6" s="23">
        <v>93.34</v>
      </c>
      <c r="Z6" s="5">
        <f>I73</f>
        <v>94.200000000000031</v>
      </c>
    </row>
    <row r="7" spans="2:28" x14ac:dyDescent="0.25">
      <c r="C7" s="20" t="s">
        <v>63</v>
      </c>
      <c r="D7" s="20" t="s">
        <v>63</v>
      </c>
      <c r="E7" s="20" t="s">
        <v>56</v>
      </c>
    </row>
    <row r="8" spans="2:28" x14ac:dyDescent="0.25">
      <c r="E8" s="20" t="s">
        <v>63</v>
      </c>
    </row>
    <row r="9" spans="2:28" x14ac:dyDescent="0.25">
      <c r="Y9" s="23" t="s">
        <v>96</v>
      </c>
    </row>
    <row r="10" spans="2:28" x14ac:dyDescent="0.25">
      <c r="B10" t="s">
        <v>56</v>
      </c>
      <c r="C10" s="20">
        <v>9</v>
      </c>
      <c r="D10" s="20" t="s">
        <v>55</v>
      </c>
      <c r="E10" s="20">
        <v>3.53</v>
      </c>
      <c r="I10" s="98" t="s">
        <v>32</v>
      </c>
      <c r="J10" s="100">
        <v>20</v>
      </c>
      <c r="K10" s="100"/>
      <c r="L10" s="30"/>
      <c r="M10" s="98" t="s">
        <v>38</v>
      </c>
      <c r="N10" s="100">
        <f>16*4</f>
        <v>64</v>
      </c>
      <c r="O10" s="100"/>
      <c r="Q10" s="98" t="s">
        <v>28</v>
      </c>
      <c r="R10" s="100">
        <f>15*3</f>
        <v>45</v>
      </c>
      <c r="S10" s="100"/>
      <c r="T10" s="100"/>
      <c r="U10" t="s">
        <v>66</v>
      </c>
      <c r="X10" s="34">
        <v>1</v>
      </c>
      <c r="Y10" s="32">
        <v>22</v>
      </c>
      <c r="Z10" s="24">
        <f>D22+C10+C11</f>
        <v>22</v>
      </c>
      <c r="AA10" s="32">
        <f>U20+P27+D22</f>
        <v>22</v>
      </c>
    </row>
    <row r="11" spans="2:28" ht="18" customHeight="1" x14ac:dyDescent="0.25">
      <c r="B11" t="s">
        <v>63</v>
      </c>
      <c r="C11" s="20">
        <v>11</v>
      </c>
      <c r="D11" s="20" t="s">
        <v>55</v>
      </c>
      <c r="E11" s="20">
        <v>3.24</v>
      </c>
      <c r="F11" s="23"/>
      <c r="H11" s="23"/>
      <c r="I11" s="98"/>
      <c r="J11" s="9" t="s">
        <v>3</v>
      </c>
      <c r="K11" s="9" t="s">
        <v>4</v>
      </c>
      <c r="L11" s="9"/>
      <c r="M11" s="98"/>
      <c r="N11" s="9" t="s">
        <v>3</v>
      </c>
      <c r="O11" s="9" t="s">
        <v>48</v>
      </c>
      <c r="Q11" s="98"/>
      <c r="R11" s="9" t="s">
        <v>3</v>
      </c>
      <c r="S11" s="9" t="s">
        <v>29</v>
      </c>
      <c r="T11" s="9" t="s">
        <v>4</v>
      </c>
      <c r="X11" s="34">
        <v>2</v>
      </c>
      <c r="Y11" s="32">
        <v>24</v>
      </c>
      <c r="Z11" s="32">
        <f>C12+C13+2</f>
        <v>24</v>
      </c>
      <c r="AA11" s="32">
        <f>V20+L32</f>
        <v>24</v>
      </c>
      <c r="AB11" t="s">
        <v>90</v>
      </c>
    </row>
    <row r="12" spans="2:28" x14ac:dyDescent="0.25">
      <c r="B12" t="s">
        <v>64</v>
      </c>
      <c r="C12" s="20">
        <v>20</v>
      </c>
      <c r="D12" s="20" t="s">
        <v>52</v>
      </c>
      <c r="E12" s="20">
        <v>3.24</v>
      </c>
      <c r="F12" s="23"/>
      <c r="H12" s="23"/>
      <c r="I12" s="98"/>
      <c r="J12" s="5">
        <v>1</v>
      </c>
      <c r="K12" s="23">
        <v>1</v>
      </c>
      <c r="M12" s="98"/>
      <c r="N12" s="5">
        <v>2</v>
      </c>
      <c r="O12" s="23"/>
      <c r="Q12" s="98"/>
      <c r="R12" s="5">
        <v>1</v>
      </c>
      <c r="S12" s="5">
        <v>1</v>
      </c>
      <c r="T12" s="5">
        <v>1</v>
      </c>
      <c r="X12" s="34" t="s">
        <v>3</v>
      </c>
      <c r="Y12" s="45">
        <v>188</v>
      </c>
      <c r="Z12" s="45">
        <f>J13+N13+R13+J20</f>
        <v>192</v>
      </c>
    </row>
    <row r="13" spans="2:28" x14ac:dyDescent="0.25">
      <c r="B13" t="s">
        <v>65</v>
      </c>
      <c r="C13" s="20">
        <v>2</v>
      </c>
      <c r="D13" s="20" t="s">
        <v>52</v>
      </c>
      <c r="E13" s="20">
        <v>3.53</v>
      </c>
      <c r="F13" s="23"/>
      <c r="H13" s="23"/>
      <c r="I13" s="98"/>
      <c r="J13" s="18">
        <f>J12*J10</f>
        <v>20</v>
      </c>
      <c r="K13" s="9">
        <f>K12*J10</f>
        <v>20</v>
      </c>
      <c r="M13" s="98"/>
      <c r="N13" s="18">
        <f>(N10*N12)-4-4+D21+D37</f>
        <v>126</v>
      </c>
      <c r="O13" s="23"/>
      <c r="Q13" s="98"/>
      <c r="R13" s="18">
        <f>R12*R10</f>
        <v>45</v>
      </c>
      <c r="S13" s="18">
        <f>S12*R10</f>
        <v>45</v>
      </c>
      <c r="T13" s="18">
        <f>T12*R10</f>
        <v>45</v>
      </c>
      <c r="X13" s="34" t="s">
        <v>40</v>
      </c>
      <c r="Y13" s="32">
        <v>20</v>
      </c>
      <c r="Z13" s="32">
        <f>R20+N27</f>
        <v>20</v>
      </c>
    </row>
    <row r="14" spans="2:28" x14ac:dyDescent="0.25">
      <c r="N14" t="s">
        <v>92</v>
      </c>
      <c r="X14" s="34" t="s">
        <v>57</v>
      </c>
      <c r="Y14" s="32">
        <v>22</v>
      </c>
      <c r="Z14" s="32">
        <f>S20+O27</f>
        <v>22</v>
      </c>
    </row>
    <row r="15" spans="2:28" x14ac:dyDescent="0.25">
      <c r="B15" t="s">
        <v>62</v>
      </c>
      <c r="C15" s="20" t="s">
        <v>68</v>
      </c>
      <c r="D15" s="20" t="s">
        <v>70</v>
      </c>
      <c r="E15" s="22">
        <f>C10+C11+D22</f>
        <v>22</v>
      </c>
      <c r="X15" s="34" t="s">
        <v>29</v>
      </c>
      <c r="Y15" s="32">
        <v>45</v>
      </c>
      <c r="Z15" s="32">
        <f>S13</f>
        <v>45</v>
      </c>
    </row>
    <row r="16" spans="2:28" x14ac:dyDescent="0.25">
      <c r="B16" t="s">
        <v>62</v>
      </c>
      <c r="C16" s="20" t="s">
        <v>69</v>
      </c>
      <c r="D16" s="20" t="s">
        <v>71</v>
      </c>
      <c r="E16" s="20">
        <f>C12+C13</f>
        <v>22</v>
      </c>
      <c r="X16" s="34" t="s">
        <v>36</v>
      </c>
      <c r="Y16" s="32">
        <v>39</v>
      </c>
      <c r="Z16" s="32">
        <f>N20+T27</f>
        <v>39</v>
      </c>
      <c r="AA16">
        <f>(C10+C11+C12+C13)</f>
        <v>42</v>
      </c>
      <c r="AB16">
        <f>Z16+Z17</f>
        <v>42</v>
      </c>
    </row>
    <row r="17" spans="2:30" x14ac:dyDescent="0.25">
      <c r="I17" s="98" t="s">
        <v>83</v>
      </c>
      <c r="J17" s="100">
        <v>1</v>
      </c>
      <c r="K17" s="100"/>
      <c r="L17" s="30"/>
      <c r="M17" s="98" t="s">
        <v>35</v>
      </c>
      <c r="N17" s="100">
        <v>14</v>
      </c>
      <c r="O17" s="100"/>
      <c r="Q17" s="98" t="s">
        <v>39</v>
      </c>
      <c r="R17" s="100">
        <v>14</v>
      </c>
      <c r="S17" s="100"/>
      <c r="T17" s="100"/>
      <c r="U17" s="100"/>
      <c r="V17" s="100"/>
      <c r="X17" s="34" t="s">
        <v>47</v>
      </c>
      <c r="Y17" s="32">
        <v>3</v>
      </c>
      <c r="Z17" s="32">
        <f>J27</f>
        <v>3</v>
      </c>
    </row>
    <row r="18" spans="2:30" ht="27" x14ac:dyDescent="0.25">
      <c r="B18" t="s">
        <v>61</v>
      </c>
      <c r="C18" s="20">
        <v>2</v>
      </c>
      <c r="D18" s="20" t="s">
        <v>86</v>
      </c>
      <c r="I18" s="98"/>
      <c r="J18" s="9" t="s">
        <v>3</v>
      </c>
      <c r="K18" s="9" t="s">
        <v>48</v>
      </c>
      <c r="L18" s="9"/>
      <c r="M18" s="98"/>
      <c r="N18" s="9" t="s">
        <v>36</v>
      </c>
      <c r="O18" s="9" t="s">
        <v>37</v>
      </c>
      <c r="Q18" s="98"/>
      <c r="R18" s="16" t="s">
        <v>42</v>
      </c>
      <c r="S18" s="16" t="s">
        <v>41</v>
      </c>
      <c r="T18" s="9" t="s">
        <v>4</v>
      </c>
      <c r="U18" s="16" t="s">
        <v>43</v>
      </c>
      <c r="V18" s="16" t="s">
        <v>44</v>
      </c>
      <c r="X18" s="35" t="s">
        <v>88</v>
      </c>
      <c r="Y18" s="32">
        <v>4</v>
      </c>
      <c r="Z18" s="32">
        <f>J32</f>
        <v>4</v>
      </c>
      <c r="AA18" s="5" t="s">
        <v>8</v>
      </c>
      <c r="AB18" s="5" t="s">
        <v>101</v>
      </c>
      <c r="AC18" t="s">
        <v>102</v>
      </c>
    </row>
    <row r="19" spans="2:30" x14ac:dyDescent="0.25">
      <c r="B19" t="s">
        <v>76</v>
      </c>
      <c r="C19" s="20">
        <v>1</v>
      </c>
      <c r="D19" s="20">
        <f>C19*C18</f>
        <v>2</v>
      </c>
      <c r="E19" s="20" t="s">
        <v>66</v>
      </c>
      <c r="I19" s="98"/>
      <c r="J19" s="5">
        <v>1</v>
      </c>
      <c r="K19" s="5"/>
      <c r="L19" s="5"/>
      <c r="M19" s="98"/>
      <c r="N19" s="5">
        <f>1</f>
        <v>1</v>
      </c>
      <c r="O19" s="5">
        <v>4</v>
      </c>
      <c r="Q19" s="98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34" t="s">
        <v>4</v>
      </c>
      <c r="Y19" s="32">
        <v>108</v>
      </c>
      <c r="Z19" s="32">
        <f>K13+T13+K20+T20+K32</f>
        <v>108</v>
      </c>
      <c r="AA19" s="5">
        <v>20</v>
      </c>
      <c r="AB19" s="5">
        <f>65-AA19</f>
        <v>45</v>
      </c>
      <c r="AC19">
        <f>108-AA19-AB19</f>
        <v>43</v>
      </c>
      <c r="AD19">
        <f>AA19+AB19+AC19</f>
        <v>108</v>
      </c>
    </row>
    <row r="20" spans="2:30" x14ac:dyDescent="0.25">
      <c r="B20" t="s">
        <v>77</v>
      </c>
      <c r="C20" s="20">
        <v>1</v>
      </c>
      <c r="D20" s="20">
        <f>C20*C18</f>
        <v>2</v>
      </c>
      <c r="E20" s="20" t="s">
        <v>66</v>
      </c>
      <c r="I20" s="98"/>
      <c r="J20" s="18">
        <f>J19*J17</f>
        <v>1</v>
      </c>
      <c r="K20" s="18"/>
      <c r="L20" s="18"/>
      <c r="M20" s="98"/>
      <c r="N20" s="18">
        <f>N19*N17+(X25*X22)+(X27*X31)+(D26*N19)+D30*N19+D41*N19+D46*N19+D50*N19+D55*N19</f>
        <v>36</v>
      </c>
      <c r="O20" s="18">
        <f>N20*O19</f>
        <v>144</v>
      </c>
      <c r="Q20" s="98"/>
      <c r="R20" s="9">
        <f>R19*R17+D19*R19+D33*R19</f>
        <v>17</v>
      </c>
      <c r="S20" s="9">
        <f>S19*D25+D29*S19+D40*S19+D44*S19+D50*S19+D53*S19</f>
        <v>22</v>
      </c>
      <c r="T20" s="9">
        <f>(R20+S20)*T19</f>
        <v>39</v>
      </c>
      <c r="U20" s="9">
        <f>R20*U19</f>
        <v>17</v>
      </c>
      <c r="V20" s="9">
        <f>S20*V19</f>
        <v>22</v>
      </c>
      <c r="X20" s="34" t="s">
        <v>37</v>
      </c>
      <c r="Y20" s="32">
        <v>156</v>
      </c>
      <c r="Z20" s="32">
        <f>O20+U27</f>
        <v>156</v>
      </c>
    </row>
    <row r="21" spans="2:30" x14ac:dyDescent="0.25">
      <c r="B21" t="s">
        <v>78</v>
      </c>
      <c r="C21" s="20">
        <v>1</v>
      </c>
      <c r="D21" s="20">
        <f>C21*C18</f>
        <v>2</v>
      </c>
      <c r="E21" s="20" t="s">
        <v>66</v>
      </c>
      <c r="F21" s="20" t="s">
        <v>91</v>
      </c>
    </row>
    <row r="22" spans="2:30" x14ac:dyDescent="0.25">
      <c r="B22" t="s">
        <v>68</v>
      </c>
      <c r="C22" s="20">
        <v>1</v>
      </c>
      <c r="D22" s="22">
        <f>C22*C18</f>
        <v>2</v>
      </c>
      <c r="X22" s="47"/>
    </row>
    <row r="23" spans="2:30" x14ac:dyDescent="0.25">
      <c r="X23" s="47"/>
    </row>
    <row r="24" spans="2:30" x14ac:dyDescent="0.25">
      <c r="B24" t="s">
        <v>51</v>
      </c>
      <c r="C24" s="20">
        <v>3</v>
      </c>
      <c r="D24" s="20" t="s">
        <v>84</v>
      </c>
      <c r="I24" s="98" t="s">
        <v>46</v>
      </c>
      <c r="J24" s="100">
        <v>2</v>
      </c>
      <c r="K24" s="100"/>
      <c r="M24" s="98" t="s">
        <v>49</v>
      </c>
      <c r="N24" s="100">
        <v>2</v>
      </c>
      <c r="O24" s="100"/>
      <c r="P24" s="100"/>
      <c r="Q24" s="100"/>
      <c r="R24" s="31"/>
      <c r="S24" s="98" t="s">
        <v>54</v>
      </c>
      <c r="T24" s="100"/>
      <c r="U24" s="100"/>
      <c r="X24" s="47"/>
    </row>
    <row r="25" spans="2:30" ht="27" x14ac:dyDescent="0.25">
      <c r="B25" s="21" t="s">
        <v>76</v>
      </c>
      <c r="C25" s="20">
        <v>2</v>
      </c>
      <c r="D25" s="20">
        <f>C25*C24</f>
        <v>6</v>
      </c>
      <c r="E25" s="20" t="s">
        <v>66</v>
      </c>
      <c r="I25" s="98"/>
      <c r="J25" s="9" t="s">
        <v>47</v>
      </c>
      <c r="K25" s="9" t="s">
        <v>48</v>
      </c>
      <c r="M25" s="98"/>
      <c r="N25" s="16" t="s">
        <v>42</v>
      </c>
      <c r="O25" s="16" t="s">
        <v>41</v>
      </c>
      <c r="P25" s="16" t="s">
        <v>43</v>
      </c>
      <c r="Q25" s="16" t="s">
        <v>44</v>
      </c>
      <c r="R25" s="16"/>
      <c r="S25" s="98"/>
      <c r="T25" s="9" t="s">
        <v>36</v>
      </c>
      <c r="U25" s="9" t="s">
        <v>37</v>
      </c>
      <c r="X25" s="47"/>
    </row>
    <row r="26" spans="2:30" x14ac:dyDescent="0.25">
      <c r="B26" s="21" t="s">
        <v>79</v>
      </c>
      <c r="C26" s="20">
        <v>2</v>
      </c>
      <c r="D26" s="20">
        <f>C26*C24</f>
        <v>6</v>
      </c>
      <c r="E26" s="20" t="s">
        <v>66</v>
      </c>
      <c r="I26" s="98"/>
      <c r="J26" s="5">
        <v>1</v>
      </c>
      <c r="M26" s="98"/>
      <c r="N26" s="5">
        <v>1</v>
      </c>
      <c r="O26" s="5" t="s">
        <v>26</v>
      </c>
      <c r="P26" s="5">
        <f>N26</f>
        <v>1</v>
      </c>
      <c r="Q26" s="5" t="s">
        <v>26</v>
      </c>
      <c r="R26" s="5"/>
      <c r="S26" s="98"/>
      <c r="T26" s="5">
        <v>1</v>
      </c>
      <c r="U26" s="5">
        <f>T26*4</f>
        <v>4</v>
      </c>
    </row>
    <row r="27" spans="2:30" x14ac:dyDescent="0.25">
      <c r="I27" s="98"/>
      <c r="J27" s="18">
        <f>J26*J24+D36*J26</f>
        <v>3</v>
      </c>
      <c r="M27" s="98"/>
      <c r="N27" s="9">
        <f>N26*N24+D34*N26</f>
        <v>3</v>
      </c>
      <c r="O27" s="9"/>
      <c r="P27" s="9">
        <f>N27*P26</f>
        <v>3</v>
      </c>
      <c r="S27" s="98"/>
      <c r="T27" s="18">
        <f>D20*T26+D35*T26</f>
        <v>3</v>
      </c>
      <c r="U27" s="18">
        <f>T27*U26</f>
        <v>12</v>
      </c>
    </row>
    <row r="28" spans="2:30" x14ac:dyDescent="0.25">
      <c r="B28" t="s">
        <v>50</v>
      </c>
      <c r="C28" s="20">
        <v>3</v>
      </c>
      <c r="D28" s="20" t="s">
        <v>84</v>
      </c>
    </row>
    <row r="29" spans="2:30" x14ac:dyDescent="0.25">
      <c r="B29" t="s">
        <v>76</v>
      </c>
      <c r="C29" s="20">
        <v>2</v>
      </c>
      <c r="D29" s="20">
        <f>C29*C28</f>
        <v>6</v>
      </c>
      <c r="E29" s="20" t="s">
        <v>66</v>
      </c>
      <c r="I29" s="98" t="s">
        <v>87</v>
      </c>
      <c r="J29" s="103"/>
      <c r="K29" s="103"/>
      <c r="L29" s="103"/>
    </row>
    <row r="30" spans="2:30" x14ac:dyDescent="0.25">
      <c r="B30" t="s">
        <v>79</v>
      </c>
      <c r="C30" s="20">
        <v>2</v>
      </c>
      <c r="D30" s="20">
        <f>C30*C28</f>
        <v>6</v>
      </c>
      <c r="E30" s="20" t="s">
        <v>66</v>
      </c>
      <c r="I30" s="98"/>
      <c r="J30" s="18" t="s">
        <v>88</v>
      </c>
      <c r="K30" s="18" t="s">
        <v>4</v>
      </c>
      <c r="L30" s="18">
        <v>2</v>
      </c>
    </row>
    <row r="31" spans="2:30" x14ac:dyDescent="0.25">
      <c r="I31" s="98"/>
      <c r="J31" s="5">
        <v>2</v>
      </c>
      <c r="K31" s="5">
        <v>2</v>
      </c>
      <c r="L31" s="5">
        <v>1</v>
      </c>
    </row>
    <row r="32" spans="2:30" x14ac:dyDescent="0.25">
      <c r="B32" t="s">
        <v>53</v>
      </c>
      <c r="C32" s="20">
        <v>1</v>
      </c>
      <c r="D32" s="33" t="s">
        <v>85</v>
      </c>
      <c r="I32" s="98"/>
      <c r="J32" s="9">
        <f>J31*D45+D54*J31</f>
        <v>4</v>
      </c>
      <c r="K32" s="9">
        <f>D45*K31+D54*K31</f>
        <v>4</v>
      </c>
      <c r="L32" s="9">
        <f>D45*L31+D54*L31</f>
        <v>2</v>
      </c>
    </row>
    <row r="33" spans="2:24" x14ac:dyDescent="0.25">
      <c r="B33" t="s">
        <v>76</v>
      </c>
      <c r="C33" s="20">
        <v>1</v>
      </c>
      <c r="D33" s="20">
        <f>C33*C32</f>
        <v>1</v>
      </c>
      <c r="E33" s="20" t="s">
        <v>66</v>
      </c>
    </row>
    <row r="34" spans="2:24" x14ac:dyDescent="0.25">
      <c r="B34" t="s">
        <v>80</v>
      </c>
      <c r="C34" s="20">
        <v>1</v>
      </c>
      <c r="D34" s="20">
        <f>C34*C32</f>
        <v>1</v>
      </c>
      <c r="E34" s="20" t="s">
        <v>66</v>
      </c>
    </row>
    <row r="35" spans="2:24" x14ac:dyDescent="0.25">
      <c r="B35" t="s">
        <v>77</v>
      </c>
      <c r="C35" s="20">
        <v>1</v>
      </c>
      <c r="D35" s="20">
        <f>C35*C32</f>
        <v>1</v>
      </c>
      <c r="E35" s="20" t="s">
        <v>66</v>
      </c>
      <c r="H35" s="98">
        <v>20</v>
      </c>
      <c r="I35" s="98"/>
      <c r="J35" s="98"/>
      <c r="M35" s="98" t="s">
        <v>38</v>
      </c>
      <c r="N35" s="100">
        <f>16*4</f>
        <v>64</v>
      </c>
      <c r="O35" s="100"/>
      <c r="Q35" s="98" t="s">
        <v>28</v>
      </c>
      <c r="R35" s="100">
        <f>15*3</f>
        <v>45</v>
      </c>
      <c r="S35" s="100"/>
      <c r="T35" s="100"/>
      <c r="V35" s="98" t="s">
        <v>83</v>
      </c>
      <c r="W35" s="100">
        <v>1</v>
      </c>
      <c r="X35" s="100"/>
    </row>
    <row r="36" spans="2:24" x14ac:dyDescent="0.25">
      <c r="B36" t="s">
        <v>81</v>
      </c>
      <c r="C36" s="20">
        <v>1</v>
      </c>
      <c r="D36" s="20">
        <f>C36*C32</f>
        <v>1</v>
      </c>
      <c r="E36" s="20" t="s">
        <v>66</v>
      </c>
      <c r="H36" s="98" t="s">
        <v>32</v>
      </c>
      <c r="I36" s="101" t="s">
        <v>98</v>
      </c>
      <c r="J36" s="101"/>
      <c r="M36" s="98"/>
      <c r="N36" s="9" t="s">
        <v>30</v>
      </c>
      <c r="O36" s="9" t="s">
        <v>31</v>
      </c>
      <c r="Q36" s="98"/>
      <c r="R36" s="9" t="s">
        <v>31</v>
      </c>
      <c r="S36" s="9" t="s">
        <v>30</v>
      </c>
      <c r="T36" s="9"/>
      <c r="V36" s="98"/>
      <c r="W36" s="9" t="s">
        <v>58</v>
      </c>
      <c r="X36" s="9"/>
    </row>
    <row r="37" spans="2:24" ht="15" customHeight="1" x14ac:dyDescent="0.25">
      <c r="B37" t="s">
        <v>78</v>
      </c>
      <c r="C37" s="20">
        <v>4</v>
      </c>
      <c r="D37" s="20">
        <f>C37*C32</f>
        <v>4</v>
      </c>
      <c r="E37" s="20" t="s">
        <v>66</v>
      </c>
      <c r="F37" s="20" t="s">
        <v>91</v>
      </c>
      <c r="H37" s="98"/>
      <c r="I37" s="5">
        <v>1.28</v>
      </c>
      <c r="J37" s="5">
        <f t="shared" ref="J37:J52" si="0">I37*3</f>
        <v>3.84</v>
      </c>
      <c r="K37" s="102" t="s">
        <v>99</v>
      </c>
      <c r="L37" t="s">
        <v>66</v>
      </c>
      <c r="M37" s="98"/>
      <c r="N37" s="5">
        <v>2</v>
      </c>
      <c r="O37" s="39">
        <v>2</v>
      </c>
      <c r="Q37" s="98"/>
      <c r="R37" s="5">
        <v>1</v>
      </c>
      <c r="S37" s="5">
        <v>1</v>
      </c>
      <c r="T37" s="5"/>
      <c r="V37" s="98"/>
      <c r="W37" s="5">
        <v>0.48</v>
      </c>
      <c r="X37" s="5">
        <f>W37*3</f>
        <v>1.44</v>
      </c>
    </row>
    <row r="38" spans="2:24" x14ac:dyDescent="0.25">
      <c r="H38" s="98"/>
      <c r="I38" s="5">
        <v>1.28</v>
      </c>
      <c r="J38" s="5">
        <f t="shared" si="0"/>
        <v>3.84</v>
      </c>
      <c r="K38" s="102"/>
      <c r="L38" t="s">
        <v>66</v>
      </c>
      <c r="M38" s="98"/>
      <c r="N38" s="18">
        <f>(N12*N10)-4-4+D37+D21</f>
        <v>126</v>
      </c>
      <c r="O38" s="9">
        <f>N38</f>
        <v>126</v>
      </c>
      <c r="Q38" s="98"/>
      <c r="R38" s="18">
        <f>R37*R35</f>
        <v>45</v>
      </c>
      <c r="S38" s="18">
        <f>S37*R35</f>
        <v>45</v>
      </c>
      <c r="T38" s="18"/>
      <c r="V38" s="98"/>
      <c r="W38" s="49">
        <v>2.74</v>
      </c>
      <c r="X38" s="49">
        <f>W38*3</f>
        <v>8.2200000000000006</v>
      </c>
    </row>
    <row r="39" spans="2:24" x14ac:dyDescent="0.25">
      <c r="B39" t="s">
        <v>72</v>
      </c>
      <c r="C39" s="20">
        <v>3</v>
      </c>
      <c r="D39" s="20" t="s">
        <v>84</v>
      </c>
      <c r="H39" s="98"/>
      <c r="I39" s="39">
        <v>4.34</v>
      </c>
      <c r="J39" s="39">
        <f t="shared" si="0"/>
        <v>13.02</v>
      </c>
      <c r="K39" s="102"/>
      <c r="L39" t="s">
        <v>66</v>
      </c>
      <c r="X39" s="9">
        <f>SUM(X37:X38)</f>
        <v>9.66</v>
      </c>
    </row>
    <row r="40" spans="2:24" x14ac:dyDescent="0.25">
      <c r="B40" t="s">
        <v>76</v>
      </c>
      <c r="C40" s="20">
        <v>2</v>
      </c>
      <c r="D40" s="20">
        <f>C40*C39</f>
        <v>6</v>
      </c>
      <c r="E40" s="20" t="s">
        <v>66</v>
      </c>
      <c r="H40" s="98"/>
      <c r="I40" s="5">
        <v>5.6</v>
      </c>
      <c r="J40" s="39">
        <f t="shared" si="0"/>
        <v>16.799999999999997</v>
      </c>
      <c r="K40" s="102"/>
      <c r="L40" t="s">
        <v>66</v>
      </c>
    </row>
    <row r="41" spans="2:24" x14ac:dyDescent="0.25">
      <c r="B41" t="s">
        <v>79</v>
      </c>
      <c r="C41" s="20">
        <v>2</v>
      </c>
      <c r="D41" s="20">
        <f>C41*C39</f>
        <v>6</v>
      </c>
      <c r="E41" s="20" t="s">
        <v>66</v>
      </c>
      <c r="H41" s="98"/>
      <c r="I41" s="39">
        <v>5.6</v>
      </c>
      <c r="J41" s="39">
        <f t="shared" si="0"/>
        <v>16.799999999999997</v>
      </c>
      <c r="K41" s="102"/>
      <c r="L41" t="s">
        <v>66</v>
      </c>
    </row>
    <row r="42" spans="2:24" x14ac:dyDescent="0.25">
      <c r="H42" s="98"/>
      <c r="I42" s="39">
        <v>1.41</v>
      </c>
      <c r="J42" s="39">
        <f t="shared" si="0"/>
        <v>4.2299999999999995</v>
      </c>
      <c r="K42" s="102"/>
      <c r="L42" t="s">
        <v>66</v>
      </c>
    </row>
    <row r="43" spans="2:24" x14ac:dyDescent="0.25">
      <c r="B43" t="s">
        <v>73</v>
      </c>
      <c r="C43" s="20">
        <v>1</v>
      </c>
      <c r="D43" s="20" t="s">
        <v>84</v>
      </c>
      <c r="H43" s="98"/>
      <c r="I43" s="39">
        <v>1.41</v>
      </c>
      <c r="J43" s="39">
        <f t="shared" si="0"/>
        <v>4.2299999999999995</v>
      </c>
      <c r="L43" t="s">
        <v>66</v>
      </c>
    </row>
    <row r="44" spans="2:24" x14ac:dyDescent="0.25">
      <c r="B44" t="s">
        <v>76</v>
      </c>
      <c r="C44" s="20">
        <v>1</v>
      </c>
      <c r="D44" s="20">
        <f>C44*C43</f>
        <v>1</v>
      </c>
      <c r="E44" s="20" t="s">
        <v>66</v>
      </c>
      <c r="H44" s="98"/>
      <c r="I44" s="39">
        <v>3.64</v>
      </c>
      <c r="J44" s="39">
        <f t="shared" si="0"/>
        <v>10.92</v>
      </c>
      <c r="L44" t="s">
        <v>66</v>
      </c>
    </row>
    <row r="45" spans="2:24" x14ac:dyDescent="0.25">
      <c r="B45" t="s">
        <v>82</v>
      </c>
      <c r="C45" s="20">
        <v>1</v>
      </c>
      <c r="D45" s="20">
        <f>C45*C43</f>
        <v>1</v>
      </c>
      <c r="E45" s="20" t="s">
        <v>66</v>
      </c>
      <c r="H45" s="98"/>
      <c r="I45" s="39">
        <v>3.4</v>
      </c>
      <c r="J45" s="39">
        <f t="shared" si="0"/>
        <v>10.199999999999999</v>
      </c>
      <c r="L45" t="s">
        <v>66</v>
      </c>
    </row>
    <row r="46" spans="2:24" x14ac:dyDescent="0.25">
      <c r="B46" t="s">
        <v>79</v>
      </c>
      <c r="C46" s="20">
        <v>1</v>
      </c>
      <c r="D46" s="20">
        <f>C46*C43</f>
        <v>1</v>
      </c>
      <c r="E46" s="20" t="s">
        <v>66</v>
      </c>
      <c r="H46" s="98"/>
      <c r="I46" s="39">
        <v>1.41</v>
      </c>
      <c r="J46" s="39">
        <f t="shared" si="0"/>
        <v>4.2299999999999995</v>
      </c>
      <c r="L46" t="s">
        <v>66</v>
      </c>
    </row>
    <row r="47" spans="2:24" x14ac:dyDescent="0.25">
      <c r="H47" s="98"/>
      <c r="I47" s="39">
        <v>1.41</v>
      </c>
      <c r="J47" s="39">
        <f t="shared" si="0"/>
        <v>4.2299999999999995</v>
      </c>
      <c r="L47" t="s">
        <v>66</v>
      </c>
    </row>
    <row r="48" spans="2:24" x14ac:dyDescent="0.25">
      <c r="B48" t="s">
        <v>74</v>
      </c>
      <c r="C48" s="20">
        <v>1</v>
      </c>
      <c r="D48" s="20" t="s">
        <v>89</v>
      </c>
      <c r="H48" s="98"/>
      <c r="I48" s="39">
        <v>3.64</v>
      </c>
      <c r="J48" s="39">
        <f t="shared" si="0"/>
        <v>10.92</v>
      </c>
      <c r="L48" t="s">
        <v>66</v>
      </c>
    </row>
    <row r="49" spans="2:25" x14ac:dyDescent="0.25">
      <c r="B49" t="s">
        <v>76</v>
      </c>
      <c r="C49" s="20">
        <v>2</v>
      </c>
      <c r="D49" s="20">
        <f>C49*C48</f>
        <v>2</v>
      </c>
      <c r="E49" s="20" t="s">
        <v>66</v>
      </c>
      <c r="H49" s="98"/>
      <c r="I49" s="39">
        <v>2.7</v>
      </c>
      <c r="J49" s="39">
        <f t="shared" si="0"/>
        <v>8.1000000000000014</v>
      </c>
      <c r="L49" t="s">
        <v>66</v>
      </c>
    </row>
    <row r="50" spans="2:25" x14ac:dyDescent="0.25">
      <c r="B50" t="s">
        <v>79</v>
      </c>
      <c r="C50" s="20">
        <v>2</v>
      </c>
      <c r="D50" s="20">
        <f>C50*C48</f>
        <v>2</v>
      </c>
      <c r="E50" s="20" t="s">
        <v>66</v>
      </c>
      <c r="H50" s="98"/>
      <c r="I50" s="39">
        <v>3.56</v>
      </c>
      <c r="J50" s="39">
        <f t="shared" si="0"/>
        <v>10.68</v>
      </c>
      <c r="L50" t="s">
        <v>66</v>
      </c>
    </row>
    <row r="51" spans="2:25" x14ac:dyDescent="0.25">
      <c r="H51" s="98"/>
      <c r="I51" s="39">
        <v>7.1</v>
      </c>
      <c r="J51" s="39">
        <f t="shared" si="0"/>
        <v>21.299999999999997</v>
      </c>
      <c r="L51" t="s">
        <v>66</v>
      </c>
    </row>
    <row r="52" spans="2:25" x14ac:dyDescent="0.25">
      <c r="B52" t="s">
        <v>75</v>
      </c>
      <c r="C52" s="20">
        <v>1</v>
      </c>
      <c r="D52" s="20" t="s">
        <v>84</v>
      </c>
      <c r="I52" s="39">
        <v>4.0999999999999996</v>
      </c>
      <c r="J52" s="39">
        <f t="shared" si="0"/>
        <v>12.299999999999999</v>
      </c>
      <c r="L52" t="s">
        <v>66</v>
      </c>
    </row>
    <row r="53" spans="2:25" x14ac:dyDescent="0.25">
      <c r="B53" t="s">
        <v>76</v>
      </c>
      <c r="C53" s="20">
        <v>1</v>
      </c>
      <c r="D53" s="20">
        <f>C53*C52</f>
        <v>1</v>
      </c>
      <c r="I53" s="39"/>
      <c r="J53" s="9">
        <f>SUM(J37:J52)</f>
        <v>155.64000000000004</v>
      </c>
    </row>
    <row r="54" spans="2:25" x14ac:dyDescent="0.25">
      <c r="B54" t="s">
        <v>82</v>
      </c>
      <c r="C54" s="20">
        <v>1</v>
      </c>
      <c r="D54" s="20">
        <f>C54*C52</f>
        <v>1</v>
      </c>
    </row>
    <row r="55" spans="2:25" x14ac:dyDescent="0.25">
      <c r="B55" t="s">
        <v>79</v>
      </c>
      <c r="C55" s="20">
        <v>1</v>
      </c>
      <c r="D55" s="20">
        <f>C55*C52</f>
        <v>1</v>
      </c>
    </row>
    <row r="56" spans="2:25" x14ac:dyDescent="0.25">
      <c r="H56" s="98"/>
      <c r="I56" s="98"/>
      <c r="J56" s="98"/>
    </row>
    <row r="57" spans="2:25" x14ac:dyDescent="0.25">
      <c r="H57" s="98" t="s">
        <v>38</v>
      </c>
      <c r="I57" s="101" t="s">
        <v>60</v>
      </c>
      <c r="J57" s="101"/>
    </row>
    <row r="58" spans="2:25" x14ac:dyDescent="0.25">
      <c r="H58" s="98"/>
      <c r="I58" s="5">
        <f>3.53*2</f>
        <v>7.06</v>
      </c>
      <c r="J58" s="5" t="s">
        <v>66</v>
      </c>
      <c r="K58" s="48"/>
    </row>
    <row r="59" spans="2:25" x14ac:dyDescent="0.25">
      <c r="H59" s="98"/>
      <c r="I59" s="5">
        <f>3.53*2</f>
        <v>7.06</v>
      </c>
      <c r="J59" s="5" t="s">
        <v>66</v>
      </c>
      <c r="K59" s="48"/>
    </row>
    <row r="60" spans="2:25" x14ac:dyDescent="0.25">
      <c r="H60" s="98"/>
      <c r="I60" s="39">
        <f>3.24*2</f>
        <v>6.48</v>
      </c>
      <c r="J60" s="39" t="s">
        <v>66</v>
      </c>
      <c r="K60" s="48"/>
    </row>
    <row r="61" spans="2:25" x14ac:dyDescent="0.25">
      <c r="H61" s="98"/>
      <c r="I61" s="5">
        <f>3.53*2</f>
        <v>7.06</v>
      </c>
      <c r="J61" s="39" t="s">
        <v>66</v>
      </c>
      <c r="K61" s="48"/>
      <c r="L61" t="s">
        <v>56</v>
      </c>
      <c r="M61" s="39">
        <v>3.53</v>
      </c>
      <c r="N61" s="39"/>
      <c r="O61" s="39"/>
    </row>
    <row r="62" spans="2:25" x14ac:dyDescent="0.25">
      <c r="C62" s="39"/>
      <c r="D62" s="39"/>
      <c r="E62" s="39"/>
      <c r="F62" s="39"/>
      <c r="G62" s="39"/>
      <c r="H62" s="98"/>
      <c r="I62" s="5">
        <f>3.53*2</f>
        <v>7.06</v>
      </c>
      <c r="J62" s="39" t="s">
        <v>66</v>
      </c>
      <c r="K62" s="48"/>
      <c r="M62" s="39"/>
      <c r="N62" s="39"/>
      <c r="O62" s="39"/>
      <c r="Y62" s="39"/>
    </row>
    <row r="63" spans="2:25" x14ac:dyDescent="0.25">
      <c r="H63" s="98"/>
      <c r="I63" s="39">
        <f>3.24*2</f>
        <v>6.48</v>
      </c>
      <c r="J63" s="39" t="s">
        <v>66</v>
      </c>
      <c r="K63" s="48"/>
      <c r="L63" t="s">
        <v>63</v>
      </c>
      <c r="M63" s="39">
        <v>3.24</v>
      </c>
      <c r="N63" s="39"/>
      <c r="O63" s="39"/>
    </row>
    <row r="64" spans="2:25" x14ac:dyDescent="0.25">
      <c r="H64" s="98"/>
      <c r="I64" s="39">
        <f>3.24*2</f>
        <v>6.48</v>
      </c>
      <c r="J64" s="39" t="s">
        <v>66</v>
      </c>
      <c r="K64" s="48"/>
      <c r="L64" t="s">
        <v>64</v>
      </c>
      <c r="M64" s="39">
        <v>3.24</v>
      </c>
      <c r="N64" s="39"/>
      <c r="O64" s="39"/>
    </row>
    <row r="65" spans="8:15" x14ac:dyDescent="0.25">
      <c r="H65" s="98"/>
      <c r="I65" s="39">
        <f>3.53*2</f>
        <v>7.06</v>
      </c>
      <c r="J65" s="39" t="s">
        <v>66</v>
      </c>
      <c r="L65" t="s">
        <v>65</v>
      </c>
      <c r="M65" s="39">
        <v>3.53</v>
      </c>
      <c r="N65" s="39"/>
      <c r="O65" s="39"/>
    </row>
    <row r="66" spans="8:15" x14ac:dyDescent="0.25">
      <c r="H66" s="98"/>
      <c r="I66" s="39">
        <f>3.53*2</f>
        <v>7.06</v>
      </c>
      <c r="J66" s="39" t="s">
        <v>66</v>
      </c>
    </row>
    <row r="67" spans="8:15" x14ac:dyDescent="0.25">
      <c r="H67" s="98"/>
      <c r="I67" s="39">
        <f>3.24*2</f>
        <v>6.48</v>
      </c>
      <c r="J67" s="39" t="s">
        <v>66</v>
      </c>
    </row>
    <row r="68" spans="8:15" x14ac:dyDescent="0.25">
      <c r="H68" s="98"/>
      <c r="I68" s="39">
        <f>3.24*2</f>
        <v>6.48</v>
      </c>
      <c r="J68" s="39" t="s">
        <v>66</v>
      </c>
    </row>
    <row r="69" spans="8:15" x14ac:dyDescent="0.25">
      <c r="H69" s="98"/>
      <c r="I69" s="39">
        <f>3.24*2</f>
        <v>6.48</v>
      </c>
      <c r="J69" s="39" t="s">
        <v>66</v>
      </c>
    </row>
    <row r="70" spans="8:15" x14ac:dyDescent="0.25">
      <c r="H70" s="98"/>
      <c r="I70" s="39">
        <f>3.24*2</f>
        <v>6.48</v>
      </c>
      <c r="J70" s="39" t="s">
        <v>66</v>
      </c>
    </row>
    <row r="71" spans="8:15" x14ac:dyDescent="0.25">
      <c r="H71" s="98"/>
      <c r="I71" s="39">
        <f>3.24*2</f>
        <v>6.48</v>
      </c>
      <c r="J71" s="39" t="s">
        <v>66</v>
      </c>
    </row>
    <row r="72" spans="8:15" x14ac:dyDescent="0.25">
      <c r="H72" s="98"/>
      <c r="I72" s="39"/>
      <c r="J72" s="39"/>
    </row>
    <row r="73" spans="8:15" x14ac:dyDescent="0.25">
      <c r="H73" s="98"/>
      <c r="I73" s="39">
        <f>SUM(I58:I71)</f>
        <v>94.200000000000031</v>
      </c>
      <c r="J73" s="39"/>
    </row>
    <row r="74" spans="8:15" x14ac:dyDescent="0.25">
      <c r="H74" s="39"/>
      <c r="I74" s="39"/>
      <c r="J74" s="39"/>
    </row>
    <row r="75" spans="8:15" x14ac:dyDescent="0.25">
      <c r="J75" s="39"/>
    </row>
  </sheetData>
  <mergeCells count="33">
    <mergeCell ref="H57:H73"/>
    <mergeCell ref="I57:J57"/>
    <mergeCell ref="H35:J35"/>
    <mergeCell ref="I36:J36"/>
    <mergeCell ref="H36:H51"/>
    <mergeCell ref="H56:J56"/>
    <mergeCell ref="Q35:Q38"/>
    <mergeCell ref="R35:T35"/>
    <mergeCell ref="V35:V38"/>
    <mergeCell ref="W35:X35"/>
    <mergeCell ref="K37:K42"/>
    <mergeCell ref="M35:M38"/>
    <mergeCell ref="N35:O35"/>
    <mergeCell ref="I29:I32"/>
    <mergeCell ref="J29:L29"/>
    <mergeCell ref="I24:I27"/>
    <mergeCell ref="J24:K24"/>
    <mergeCell ref="M24:M27"/>
    <mergeCell ref="N24:Q24"/>
    <mergeCell ref="T24:U24"/>
    <mergeCell ref="S24:S27"/>
    <mergeCell ref="I17:I20"/>
    <mergeCell ref="J17:K17"/>
    <mergeCell ref="M17:M20"/>
    <mergeCell ref="N17:O17"/>
    <mergeCell ref="R17:V17"/>
    <mergeCell ref="Q17:Q20"/>
    <mergeCell ref="R10:T10"/>
    <mergeCell ref="I10:I13"/>
    <mergeCell ref="J10:K10"/>
    <mergeCell ref="M10:M13"/>
    <mergeCell ref="N10:O10"/>
    <mergeCell ref="Q10:Q13"/>
  </mergeCells>
  <pageMargins left="0.7" right="0.7" top="0.75" bottom="0.75" header="0.3" footer="0.3"/>
  <pageSetup paperSize="9" orientation="portrait" r:id="rId1"/>
  <ignoredErrors>
    <ignoredError sqref="I6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76"/>
  <sheetViews>
    <sheetView topLeftCell="B16" zoomScaleNormal="100" workbookViewId="0">
      <selection activeCell="AA27" sqref="AA27"/>
    </sheetView>
  </sheetViews>
  <sheetFormatPr defaultRowHeight="15" x14ac:dyDescent="0.25"/>
  <cols>
    <col min="3" max="3" width="9.140625" style="27"/>
    <col min="4" max="4" width="10.7109375" style="27" customWidth="1"/>
    <col min="5" max="10" width="9.140625" style="27"/>
    <col min="15" max="15" width="9.140625" style="5"/>
    <col min="24" max="24" width="9.140625" style="34"/>
    <col min="25" max="25" width="9.140625" style="27"/>
    <col min="26" max="26" width="9.140625" style="5"/>
  </cols>
  <sheetData>
    <row r="1" spans="2:28" x14ac:dyDescent="0.25">
      <c r="C1" s="27" t="s">
        <v>66</v>
      </c>
      <c r="D1" s="27" t="s">
        <v>66</v>
      </c>
      <c r="E1" s="27" t="s">
        <v>66</v>
      </c>
      <c r="F1" s="27" t="s">
        <v>66</v>
      </c>
      <c r="G1" s="27" t="s">
        <v>66</v>
      </c>
      <c r="H1" s="27" t="s">
        <v>66</v>
      </c>
      <c r="I1" s="27" t="s">
        <v>66</v>
      </c>
      <c r="J1" s="27" t="s">
        <v>66</v>
      </c>
      <c r="K1" s="27" t="s">
        <v>66</v>
      </c>
    </row>
    <row r="2" spans="2:28" x14ac:dyDescent="0.25">
      <c r="B2" t="s">
        <v>34</v>
      </c>
      <c r="C2" s="27">
        <v>1.1000000000000001</v>
      </c>
      <c r="D2" s="27">
        <v>1.1000000000000001</v>
      </c>
      <c r="E2" s="5">
        <v>1.1000000000000001</v>
      </c>
      <c r="F2" s="27">
        <v>1.49</v>
      </c>
      <c r="G2" s="27">
        <v>1.1000000000000001</v>
      </c>
      <c r="H2" s="27">
        <v>1.5</v>
      </c>
      <c r="I2" s="27">
        <v>1.1000000000000001</v>
      </c>
      <c r="J2" s="27">
        <v>1.1000000000000001</v>
      </c>
      <c r="K2" s="27">
        <v>1.1000000000000001</v>
      </c>
      <c r="L2" s="25">
        <f>SUM(C2:K2)</f>
        <v>10.69</v>
      </c>
      <c r="M2" s="27" t="s">
        <v>100</v>
      </c>
      <c r="N2" s="27"/>
      <c r="O2"/>
      <c r="X2"/>
      <c r="Y2"/>
      <c r="Z2"/>
    </row>
    <row r="3" spans="2:28" x14ac:dyDescent="0.25">
      <c r="C3" s="27" t="s">
        <v>65</v>
      </c>
      <c r="D3" s="27" t="s">
        <v>64</v>
      </c>
      <c r="E3" s="5" t="s">
        <v>64</v>
      </c>
      <c r="F3" s="27" t="s">
        <v>64</v>
      </c>
      <c r="G3" s="27" t="s">
        <v>64</v>
      </c>
      <c r="H3" s="27" t="s">
        <v>64</v>
      </c>
      <c r="I3" s="27" t="s">
        <v>64</v>
      </c>
      <c r="J3" s="27" t="s">
        <v>64</v>
      </c>
      <c r="K3" s="27" t="s">
        <v>64</v>
      </c>
      <c r="L3" s="27"/>
      <c r="M3" s="27"/>
      <c r="N3" s="27"/>
      <c r="O3"/>
      <c r="Y3" s="39" t="s">
        <v>96</v>
      </c>
    </row>
    <row r="4" spans="2:28" x14ac:dyDescent="0.25">
      <c r="C4" s="27" t="s">
        <v>65</v>
      </c>
      <c r="D4" s="27" t="s">
        <v>64</v>
      </c>
      <c r="E4" s="5" t="s">
        <v>64</v>
      </c>
      <c r="F4" s="27" t="s">
        <v>64</v>
      </c>
      <c r="G4" s="27" t="s">
        <v>64</v>
      </c>
      <c r="H4" s="27" t="s">
        <v>64</v>
      </c>
      <c r="I4" s="27" t="s">
        <v>64</v>
      </c>
      <c r="J4" s="27" t="s">
        <v>93</v>
      </c>
      <c r="K4" s="27" t="s">
        <v>93</v>
      </c>
      <c r="L4" s="27"/>
      <c r="M4" s="27"/>
      <c r="N4" s="27"/>
      <c r="O4"/>
      <c r="X4" s="47" t="s">
        <v>31</v>
      </c>
      <c r="Y4" s="39">
        <v>174</v>
      </c>
      <c r="Z4" s="5">
        <f>P40+S40</f>
        <v>173</v>
      </c>
    </row>
    <row r="5" spans="2:28" x14ac:dyDescent="0.25">
      <c r="D5"/>
      <c r="E5" s="5"/>
      <c r="K5" s="27"/>
      <c r="L5" s="27"/>
      <c r="M5" s="27"/>
      <c r="N5" s="27"/>
      <c r="O5"/>
      <c r="X5" s="47" t="s">
        <v>30</v>
      </c>
      <c r="Y5" s="39">
        <v>174</v>
      </c>
      <c r="Z5" s="5">
        <f>O40+T40</f>
        <v>173</v>
      </c>
    </row>
    <row r="6" spans="2:28" x14ac:dyDescent="0.25">
      <c r="B6" t="s">
        <v>33</v>
      </c>
      <c r="C6" s="27">
        <v>1.75</v>
      </c>
      <c r="D6" s="27">
        <v>1.59</v>
      </c>
      <c r="E6" s="28">
        <f>SUM(C6:D6)</f>
        <v>3.34</v>
      </c>
      <c r="K6" s="27"/>
      <c r="L6" s="27"/>
      <c r="M6" s="27"/>
      <c r="N6" s="27"/>
      <c r="O6"/>
      <c r="X6" s="47" t="s">
        <v>58</v>
      </c>
      <c r="Y6" s="39">
        <v>171.3</v>
      </c>
      <c r="Z6" s="5">
        <f>K55+Y41</f>
        <v>165.30000000000004</v>
      </c>
    </row>
    <row r="7" spans="2:28" x14ac:dyDescent="0.25">
      <c r="C7" s="27" t="s">
        <v>56</v>
      </c>
      <c r="D7" s="27" t="s">
        <v>56</v>
      </c>
      <c r="E7" s="5"/>
      <c r="K7" s="27"/>
      <c r="L7" s="27"/>
      <c r="M7" s="27"/>
      <c r="N7" s="27"/>
      <c r="O7"/>
      <c r="X7" s="47" t="s">
        <v>59</v>
      </c>
      <c r="Y7" s="39">
        <v>93.34</v>
      </c>
      <c r="Z7" s="5">
        <f>J75</f>
        <v>94.200000000000031</v>
      </c>
    </row>
    <row r="8" spans="2:28" x14ac:dyDescent="0.25">
      <c r="D8" s="27" t="s">
        <v>63</v>
      </c>
      <c r="E8" s="5"/>
      <c r="K8" s="27"/>
      <c r="L8" s="27"/>
      <c r="M8" s="27"/>
      <c r="N8" s="27"/>
      <c r="O8"/>
      <c r="X8"/>
      <c r="Y8"/>
      <c r="Z8"/>
    </row>
    <row r="9" spans="2:28" x14ac:dyDescent="0.25">
      <c r="X9" s="41"/>
      <c r="Y9" s="12" t="s">
        <v>96</v>
      </c>
      <c r="Z9" s="42"/>
      <c r="AA9" s="43"/>
      <c r="AB9" s="43"/>
    </row>
    <row r="10" spans="2:28" x14ac:dyDescent="0.25">
      <c r="B10" t="s">
        <v>56</v>
      </c>
      <c r="C10" s="26">
        <v>9</v>
      </c>
      <c r="D10" s="27" t="s">
        <v>55</v>
      </c>
      <c r="E10" s="27">
        <v>3.53</v>
      </c>
      <c r="I10" s="98" t="s">
        <v>32</v>
      </c>
      <c r="J10" s="100">
        <v>19</v>
      </c>
      <c r="K10" s="100"/>
      <c r="L10" s="30" t="s">
        <v>66</v>
      </c>
      <c r="M10" s="98" t="s">
        <v>38</v>
      </c>
      <c r="N10" s="100">
        <f>16*4</f>
        <v>64</v>
      </c>
      <c r="O10" s="100"/>
      <c r="P10" t="s">
        <v>66</v>
      </c>
      <c r="Q10" s="98" t="s">
        <v>28</v>
      </c>
      <c r="R10" s="100">
        <f>16*3</f>
        <v>48</v>
      </c>
      <c r="S10" s="100"/>
      <c r="T10" s="100"/>
      <c r="U10" t="s">
        <v>66</v>
      </c>
      <c r="X10" s="41">
        <v>1</v>
      </c>
      <c r="Y10" s="32">
        <v>20</v>
      </c>
      <c r="Z10" s="29">
        <f>D22+C10+C11</f>
        <v>20</v>
      </c>
      <c r="AA10" s="12">
        <f>U20+P27+D22</f>
        <v>20</v>
      </c>
      <c r="AB10" s="43"/>
    </row>
    <row r="11" spans="2:28" ht="18" customHeight="1" x14ac:dyDescent="0.25">
      <c r="B11" t="s">
        <v>63</v>
      </c>
      <c r="C11" s="26">
        <v>10</v>
      </c>
      <c r="D11" s="27" t="s">
        <v>55</v>
      </c>
      <c r="E11" s="27">
        <v>3.24</v>
      </c>
      <c r="I11" s="98"/>
      <c r="J11" s="9" t="s">
        <v>3</v>
      </c>
      <c r="K11" s="9" t="s">
        <v>4</v>
      </c>
      <c r="L11" s="9"/>
      <c r="M11" s="98"/>
      <c r="N11" s="9" t="s">
        <v>3</v>
      </c>
      <c r="O11" s="9" t="s">
        <v>48</v>
      </c>
      <c r="Q11" s="98"/>
      <c r="R11" s="9" t="s">
        <v>3</v>
      </c>
      <c r="S11" s="9" t="s">
        <v>29</v>
      </c>
      <c r="T11" s="9" t="s">
        <v>4</v>
      </c>
      <c r="X11" s="41">
        <v>2</v>
      </c>
      <c r="Y11" s="32">
        <v>18</v>
      </c>
      <c r="Z11" s="32">
        <f>C12+C13+1</f>
        <v>18</v>
      </c>
      <c r="AA11" s="12">
        <f>V20+L32</f>
        <v>18</v>
      </c>
      <c r="AB11" s="43" t="s">
        <v>94</v>
      </c>
    </row>
    <row r="12" spans="2:28" x14ac:dyDescent="0.25">
      <c r="B12" t="s">
        <v>64</v>
      </c>
      <c r="C12" s="26">
        <v>15</v>
      </c>
      <c r="D12" s="27" t="s">
        <v>52</v>
      </c>
      <c r="E12" s="27">
        <v>3.24</v>
      </c>
      <c r="I12" s="98"/>
      <c r="J12" s="5">
        <v>1</v>
      </c>
      <c r="K12" s="27">
        <v>1</v>
      </c>
      <c r="M12" s="98"/>
      <c r="N12" s="5">
        <v>2</v>
      </c>
      <c r="O12" s="27"/>
      <c r="Q12" s="98"/>
      <c r="R12" s="5">
        <v>1</v>
      </c>
      <c r="S12" s="5">
        <v>1</v>
      </c>
      <c r="T12" s="5">
        <v>1</v>
      </c>
      <c r="X12" s="41" t="s">
        <v>3</v>
      </c>
      <c r="Y12" s="45">
        <v>190</v>
      </c>
      <c r="Z12" s="45">
        <f>J13+N13+R13+J20</f>
        <v>193</v>
      </c>
      <c r="AA12" s="43"/>
      <c r="AB12" s="43"/>
    </row>
    <row r="13" spans="2:28" x14ac:dyDescent="0.25">
      <c r="B13" t="s">
        <v>65</v>
      </c>
      <c r="C13" s="26">
        <v>2</v>
      </c>
      <c r="D13" s="27" t="s">
        <v>52</v>
      </c>
      <c r="E13" s="27">
        <v>3.53</v>
      </c>
      <c r="I13" s="98"/>
      <c r="J13" s="18">
        <f>J12*J10</f>
        <v>19</v>
      </c>
      <c r="K13" s="9">
        <f>K12*J10</f>
        <v>19</v>
      </c>
      <c r="M13" s="98"/>
      <c r="N13" s="18">
        <f>(N12*N10)-4-4+D37+D21</f>
        <v>125</v>
      </c>
      <c r="O13" s="27"/>
      <c r="Q13" s="98"/>
      <c r="R13" s="18">
        <f>R12*R10</f>
        <v>48</v>
      </c>
      <c r="S13" s="18">
        <f>S12*R10</f>
        <v>48</v>
      </c>
      <c r="T13" s="18">
        <f>T12*R10</f>
        <v>48</v>
      </c>
      <c r="X13" s="41" t="s">
        <v>40</v>
      </c>
      <c r="Y13" s="32">
        <v>19</v>
      </c>
      <c r="Z13" s="32">
        <f>R20+N27</f>
        <v>19</v>
      </c>
      <c r="AA13" s="43"/>
      <c r="AB13" s="43"/>
    </row>
    <row r="14" spans="2:28" x14ac:dyDescent="0.25">
      <c r="N14" t="s">
        <v>92</v>
      </c>
      <c r="X14" s="41" t="s">
        <v>57</v>
      </c>
      <c r="Y14" s="32">
        <v>17</v>
      </c>
      <c r="Z14" s="32">
        <f>S20+O27</f>
        <v>17</v>
      </c>
      <c r="AA14" s="43"/>
      <c r="AB14" s="43"/>
    </row>
    <row r="15" spans="2:28" x14ac:dyDescent="0.25">
      <c r="B15" t="s">
        <v>62</v>
      </c>
      <c r="C15" s="27" t="s">
        <v>68</v>
      </c>
      <c r="D15" s="27" t="s">
        <v>70</v>
      </c>
      <c r="E15" s="11">
        <f>C10+C11+D22</f>
        <v>20</v>
      </c>
      <c r="X15" s="41" t="s">
        <v>29</v>
      </c>
      <c r="Y15" s="32">
        <v>48</v>
      </c>
      <c r="Z15" s="32">
        <f>S13</f>
        <v>48</v>
      </c>
      <c r="AA15" s="43"/>
      <c r="AB15" s="43"/>
    </row>
    <row r="16" spans="2:28" x14ac:dyDescent="0.25">
      <c r="B16" t="s">
        <v>62</v>
      </c>
      <c r="C16" s="27" t="s">
        <v>69</v>
      </c>
      <c r="D16" s="27" t="s">
        <v>71</v>
      </c>
      <c r="E16" s="9">
        <f>C12+C13</f>
        <v>17</v>
      </c>
      <c r="X16" s="41" t="s">
        <v>36</v>
      </c>
      <c r="Y16" s="32">
        <v>33</v>
      </c>
      <c r="Z16" s="32">
        <f>N20+T27</f>
        <v>33</v>
      </c>
      <c r="AA16" s="43">
        <f>(C10+C11+C12+C13)</f>
        <v>36</v>
      </c>
      <c r="AB16" s="43">
        <f>Z16+Z17</f>
        <v>36</v>
      </c>
    </row>
    <row r="17" spans="2:30" x14ac:dyDescent="0.25">
      <c r="I17" s="98" t="s">
        <v>83</v>
      </c>
      <c r="J17" s="100">
        <v>1</v>
      </c>
      <c r="K17" s="100"/>
      <c r="L17" s="30" t="s">
        <v>66</v>
      </c>
      <c r="M17" s="98" t="s">
        <v>35</v>
      </c>
      <c r="N17" s="100">
        <v>13</v>
      </c>
      <c r="O17" s="100"/>
      <c r="P17" t="s">
        <v>66</v>
      </c>
      <c r="Q17" s="98" t="s">
        <v>39</v>
      </c>
      <c r="R17" s="100">
        <v>14</v>
      </c>
      <c r="S17" s="100"/>
      <c r="T17" s="100"/>
      <c r="U17" s="100"/>
      <c r="V17" s="100"/>
      <c r="W17" t="s">
        <v>66</v>
      </c>
      <c r="X17" s="41" t="s">
        <v>47</v>
      </c>
      <c r="Y17" s="32">
        <v>3</v>
      </c>
      <c r="Z17" s="32">
        <f>J27</f>
        <v>3</v>
      </c>
      <c r="AA17" s="43"/>
      <c r="AB17" s="43"/>
    </row>
    <row r="18" spans="2:30" ht="27" x14ac:dyDescent="0.25">
      <c r="B18" t="s">
        <v>61</v>
      </c>
      <c r="C18" s="27">
        <v>1</v>
      </c>
      <c r="D18" s="27" t="s">
        <v>86</v>
      </c>
      <c r="I18" s="98"/>
      <c r="J18" s="9" t="s">
        <v>3</v>
      </c>
      <c r="K18" s="9" t="s">
        <v>48</v>
      </c>
      <c r="L18" s="9"/>
      <c r="M18" s="98"/>
      <c r="N18" s="9" t="s">
        <v>36</v>
      </c>
      <c r="O18" s="9" t="s">
        <v>37</v>
      </c>
      <c r="Q18" s="98"/>
      <c r="R18" s="16" t="s">
        <v>42</v>
      </c>
      <c r="S18" s="16" t="s">
        <v>41</v>
      </c>
      <c r="T18" s="9" t="s">
        <v>4</v>
      </c>
      <c r="U18" s="16" t="s">
        <v>43</v>
      </c>
      <c r="V18" s="16" t="s">
        <v>44</v>
      </c>
      <c r="X18" s="44" t="s">
        <v>88</v>
      </c>
      <c r="Y18" s="32">
        <v>2</v>
      </c>
      <c r="Z18" s="32">
        <f>J32</f>
        <v>2</v>
      </c>
      <c r="AA18" s="42" t="s">
        <v>8</v>
      </c>
      <c r="AB18" s="42" t="s">
        <v>101</v>
      </c>
      <c r="AC18" t="s">
        <v>76</v>
      </c>
    </row>
    <row r="19" spans="2:30" x14ac:dyDescent="0.25">
      <c r="B19" t="s">
        <v>76</v>
      </c>
      <c r="C19" s="27">
        <v>1</v>
      </c>
      <c r="D19" s="27">
        <f>C19*C18</f>
        <v>1</v>
      </c>
      <c r="I19" s="98"/>
      <c r="J19" s="5">
        <v>1</v>
      </c>
      <c r="K19" s="5"/>
      <c r="L19" s="5"/>
      <c r="M19" s="98"/>
      <c r="N19" s="5">
        <f>1</f>
        <v>1</v>
      </c>
      <c r="O19" s="5">
        <v>4</v>
      </c>
      <c r="Q19" s="98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41" t="s">
        <v>4</v>
      </c>
      <c r="Y19" s="45">
        <v>100</v>
      </c>
      <c r="Z19" s="45">
        <f>K13+T13+T20+K32</f>
        <v>102</v>
      </c>
      <c r="AA19" s="42">
        <v>19</v>
      </c>
      <c r="AB19" s="42">
        <f>67-AA19</f>
        <v>48</v>
      </c>
      <c r="AC19" s="55">
        <f>100-AA19-AB19</f>
        <v>33</v>
      </c>
      <c r="AD19">
        <f>AB19+AA19+AC19</f>
        <v>100</v>
      </c>
    </row>
    <row r="20" spans="2:30" x14ac:dyDescent="0.25">
      <c r="B20" t="s">
        <v>77</v>
      </c>
      <c r="C20" s="27">
        <v>1</v>
      </c>
      <c r="D20" s="27">
        <f>C20*C18</f>
        <v>1</v>
      </c>
      <c r="I20" s="98"/>
      <c r="J20" s="18">
        <f>J19*J17</f>
        <v>1</v>
      </c>
      <c r="K20" s="18"/>
      <c r="L20" s="18"/>
      <c r="M20" s="98"/>
      <c r="N20" s="18">
        <f>N19*N17+(X25*X22)+(X27*X31)+(D26*N19)+D30*N19+D41*N19+D46*N19+D50*N19+D55*N19</f>
        <v>30</v>
      </c>
      <c r="O20" s="18">
        <f>N20*O19</f>
        <v>120</v>
      </c>
      <c r="Q20" s="98"/>
      <c r="R20" s="9">
        <f>R19*R17+D19*R19+D33*R19</f>
        <v>16</v>
      </c>
      <c r="S20" s="9">
        <f>S19*D25+D29*S19+D40*S19+D44*S19+D50*S19+D53*S19</f>
        <v>17</v>
      </c>
      <c r="T20" s="9">
        <f>R17+D19+D25+D29+D33+D40+D44+D49+D53</f>
        <v>33</v>
      </c>
      <c r="U20" s="9">
        <f>R20*U19</f>
        <v>16</v>
      </c>
      <c r="V20" s="9">
        <f>S20*V19</f>
        <v>17</v>
      </c>
      <c r="X20" s="41" t="s">
        <v>37</v>
      </c>
      <c r="Y20" s="32">
        <v>132</v>
      </c>
      <c r="Z20" s="32">
        <f>O20+U27</f>
        <v>132</v>
      </c>
      <c r="AA20" s="43"/>
      <c r="AB20" s="43"/>
    </row>
    <row r="21" spans="2:30" x14ac:dyDescent="0.25">
      <c r="B21" t="s">
        <v>78</v>
      </c>
      <c r="C21" s="27">
        <v>1</v>
      </c>
      <c r="D21" s="27">
        <f>C21*C18</f>
        <v>1</v>
      </c>
      <c r="F21" s="27" t="s">
        <v>91</v>
      </c>
      <c r="X21" s="41"/>
      <c r="Y21" s="12"/>
      <c r="Z21" s="42"/>
      <c r="AA21" s="43"/>
      <c r="AB21" s="43"/>
    </row>
    <row r="22" spans="2:30" x14ac:dyDescent="0.25">
      <c r="B22" t="s">
        <v>68</v>
      </c>
      <c r="C22" s="27">
        <v>1</v>
      </c>
      <c r="D22" s="26">
        <f>C22*C18</f>
        <v>1</v>
      </c>
    </row>
    <row r="24" spans="2:30" x14ac:dyDescent="0.25">
      <c r="B24" t="s">
        <v>51</v>
      </c>
      <c r="C24" s="27">
        <v>2</v>
      </c>
      <c r="D24" s="27" t="s">
        <v>84</v>
      </c>
      <c r="I24" s="98" t="s">
        <v>46</v>
      </c>
      <c r="J24" s="100">
        <v>2</v>
      </c>
      <c r="K24" s="100"/>
      <c r="L24" t="s">
        <v>66</v>
      </c>
      <c r="M24" s="98" t="s">
        <v>49</v>
      </c>
      <c r="N24" s="100">
        <v>2</v>
      </c>
      <c r="O24" s="100"/>
      <c r="P24" s="100"/>
      <c r="Q24" s="100"/>
      <c r="R24" s="31" t="s">
        <v>66</v>
      </c>
      <c r="S24" s="98" t="s">
        <v>54</v>
      </c>
      <c r="T24" s="100">
        <v>1</v>
      </c>
      <c r="U24" s="100"/>
      <c r="V24" t="s">
        <v>66</v>
      </c>
    </row>
    <row r="25" spans="2:30" ht="27" x14ac:dyDescent="0.25">
      <c r="B25" s="21" t="s">
        <v>76</v>
      </c>
      <c r="C25" s="27">
        <v>2</v>
      </c>
      <c r="D25" s="27">
        <f>C25*C24</f>
        <v>4</v>
      </c>
      <c r="I25" s="98"/>
      <c r="J25" s="9" t="s">
        <v>47</v>
      </c>
      <c r="K25" s="9" t="s">
        <v>48</v>
      </c>
      <c r="M25" s="98"/>
      <c r="N25" s="16" t="s">
        <v>42</v>
      </c>
      <c r="O25" s="16" t="s">
        <v>41</v>
      </c>
      <c r="P25" s="16" t="s">
        <v>43</v>
      </c>
      <c r="Q25" s="16" t="s">
        <v>44</v>
      </c>
      <c r="R25" s="16"/>
      <c r="S25" s="98"/>
      <c r="T25" s="9" t="s">
        <v>36</v>
      </c>
      <c r="U25" s="9" t="s">
        <v>37</v>
      </c>
    </row>
    <row r="26" spans="2:30" x14ac:dyDescent="0.25">
      <c r="B26" s="21" t="s">
        <v>79</v>
      </c>
      <c r="C26" s="27">
        <v>2</v>
      </c>
      <c r="D26" s="27">
        <f>C26*C24</f>
        <v>4</v>
      </c>
      <c r="I26" s="98"/>
      <c r="J26" s="5">
        <v>1</v>
      </c>
      <c r="M26" s="98"/>
      <c r="N26" s="5">
        <v>1</v>
      </c>
      <c r="O26" s="5" t="s">
        <v>26</v>
      </c>
      <c r="P26" s="5">
        <f>N26</f>
        <v>1</v>
      </c>
      <c r="Q26" s="5" t="s">
        <v>26</v>
      </c>
      <c r="R26" s="5"/>
      <c r="S26" s="98"/>
      <c r="T26" s="5">
        <v>1</v>
      </c>
      <c r="U26" s="5">
        <f>T26*4</f>
        <v>4</v>
      </c>
      <c r="W26" t="s">
        <v>97</v>
      </c>
    </row>
    <row r="27" spans="2:30" x14ac:dyDescent="0.25">
      <c r="I27" s="98"/>
      <c r="J27" s="18">
        <f>J26*J24+D36*J26</f>
        <v>3</v>
      </c>
      <c r="M27" s="98"/>
      <c r="N27" s="9">
        <f>N26*N24+D34*N26</f>
        <v>3</v>
      </c>
      <c r="O27" s="9"/>
      <c r="P27" s="9">
        <f>N27*P26</f>
        <v>3</v>
      </c>
      <c r="S27" s="98"/>
      <c r="T27" s="18">
        <f>D20*T26+D35*T26+T26*T24</f>
        <v>3</v>
      </c>
      <c r="U27" s="18">
        <f>T27*U26</f>
        <v>12</v>
      </c>
    </row>
    <row r="28" spans="2:30" x14ac:dyDescent="0.25">
      <c r="B28" t="s">
        <v>50</v>
      </c>
      <c r="C28" s="27">
        <v>6</v>
      </c>
      <c r="D28" s="27" t="s">
        <v>84</v>
      </c>
    </row>
    <row r="29" spans="2:30" x14ac:dyDescent="0.25">
      <c r="B29" t="s">
        <v>76</v>
      </c>
      <c r="C29" s="27">
        <v>2</v>
      </c>
      <c r="D29" s="27">
        <f>C29*C28</f>
        <v>12</v>
      </c>
      <c r="I29" s="98" t="s">
        <v>87</v>
      </c>
      <c r="J29" s="103"/>
      <c r="K29" s="103"/>
      <c r="L29" s="103"/>
    </row>
    <row r="30" spans="2:30" x14ac:dyDescent="0.25">
      <c r="B30" t="s">
        <v>79</v>
      </c>
      <c r="C30" s="27">
        <v>2</v>
      </c>
      <c r="D30" s="27">
        <f>C30*C28</f>
        <v>12</v>
      </c>
      <c r="I30" s="98"/>
      <c r="J30" s="18" t="s">
        <v>88</v>
      </c>
      <c r="K30" s="18" t="s">
        <v>4</v>
      </c>
      <c r="L30" s="18">
        <v>2</v>
      </c>
    </row>
    <row r="31" spans="2:30" x14ac:dyDescent="0.25">
      <c r="I31" s="98"/>
      <c r="J31" s="5">
        <v>2</v>
      </c>
      <c r="K31" s="5">
        <v>2</v>
      </c>
      <c r="L31" s="5">
        <v>1</v>
      </c>
    </row>
    <row r="32" spans="2:30" x14ac:dyDescent="0.25">
      <c r="B32" t="s">
        <v>53</v>
      </c>
      <c r="C32" s="27">
        <v>1</v>
      </c>
      <c r="D32" s="33" t="s">
        <v>85</v>
      </c>
      <c r="I32" s="98"/>
      <c r="J32" s="9">
        <f>J31*D45+D54*J31</f>
        <v>2</v>
      </c>
      <c r="K32" s="9">
        <f>D45*K31+D54*K31</f>
        <v>2</v>
      </c>
      <c r="L32" s="9">
        <f>D45*L31+D54*L31</f>
        <v>1</v>
      </c>
    </row>
    <row r="33" spans="2:26" x14ac:dyDescent="0.25">
      <c r="B33" t="s">
        <v>76</v>
      </c>
      <c r="C33" s="27">
        <v>1</v>
      </c>
      <c r="D33" s="27">
        <f>C33*C32</f>
        <v>1</v>
      </c>
    </row>
    <row r="34" spans="2:26" x14ac:dyDescent="0.25">
      <c r="B34" t="s">
        <v>80</v>
      </c>
      <c r="C34" s="27">
        <v>1</v>
      </c>
      <c r="D34" s="27">
        <f>C34*C32</f>
        <v>1</v>
      </c>
    </row>
    <row r="35" spans="2:26" x14ac:dyDescent="0.25">
      <c r="B35" t="s">
        <v>77</v>
      </c>
      <c r="C35" s="27">
        <v>1</v>
      </c>
      <c r="D35" s="27">
        <f>C35*C32</f>
        <v>1</v>
      </c>
    </row>
    <row r="36" spans="2:26" x14ac:dyDescent="0.25">
      <c r="B36" t="s">
        <v>81</v>
      </c>
      <c r="C36" s="27">
        <v>1</v>
      </c>
      <c r="D36" s="27">
        <f>C36*C32</f>
        <v>1</v>
      </c>
    </row>
    <row r="37" spans="2:26" x14ac:dyDescent="0.25">
      <c r="B37" t="s">
        <v>78</v>
      </c>
      <c r="C37" s="27">
        <v>4</v>
      </c>
      <c r="D37" s="27">
        <f>C37*C32</f>
        <v>4</v>
      </c>
      <c r="F37" s="27" t="s">
        <v>91</v>
      </c>
      <c r="I37" s="98"/>
      <c r="J37" s="98"/>
      <c r="K37" s="98"/>
      <c r="N37" s="98" t="s">
        <v>38</v>
      </c>
      <c r="O37" s="100"/>
      <c r="P37" s="100"/>
      <c r="R37" s="98" t="s">
        <v>28</v>
      </c>
      <c r="S37" s="100"/>
      <c r="T37" s="100"/>
      <c r="U37" s="100"/>
      <c r="W37" s="98" t="s">
        <v>83</v>
      </c>
      <c r="X37" s="100"/>
      <c r="Y37" s="100"/>
      <c r="Z37" s="39"/>
    </row>
    <row r="38" spans="2:26" x14ac:dyDescent="0.25">
      <c r="I38" s="98" t="s">
        <v>32</v>
      </c>
      <c r="J38" s="101" t="s">
        <v>98</v>
      </c>
      <c r="K38" s="101"/>
      <c r="N38" s="98"/>
      <c r="O38" s="9" t="s">
        <v>30</v>
      </c>
      <c r="P38" s="9" t="s">
        <v>31</v>
      </c>
      <c r="R38" s="98"/>
      <c r="S38" s="9" t="s">
        <v>31</v>
      </c>
      <c r="T38" s="9" t="s">
        <v>30</v>
      </c>
      <c r="U38" s="9"/>
      <c r="W38" s="98"/>
      <c r="X38" s="9" t="s">
        <v>58</v>
      </c>
      <c r="Y38" s="9"/>
      <c r="Z38" s="39"/>
    </row>
    <row r="39" spans="2:26" x14ac:dyDescent="0.25">
      <c r="B39" t="s">
        <v>72</v>
      </c>
      <c r="C39" s="27">
        <v>0</v>
      </c>
      <c r="D39" s="27" t="s">
        <v>84</v>
      </c>
      <c r="I39" s="98"/>
      <c r="J39" s="5">
        <v>1.28</v>
      </c>
      <c r="K39" s="5">
        <f t="shared" ref="K39:K54" si="0">J39*3</f>
        <v>3.84</v>
      </c>
      <c r="L39" s="102" t="s">
        <v>99</v>
      </c>
      <c r="M39" t="s">
        <v>66</v>
      </c>
      <c r="N39" s="98"/>
      <c r="O39" s="5">
        <v>2</v>
      </c>
      <c r="P39" s="39">
        <v>2</v>
      </c>
      <c r="R39" s="98"/>
      <c r="S39" s="5">
        <v>1</v>
      </c>
      <c r="T39" s="5">
        <v>1</v>
      </c>
      <c r="U39" s="5"/>
      <c r="W39" s="98"/>
      <c r="X39" s="5">
        <v>0.48</v>
      </c>
      <c r="Y39" s="5">
        <f>X39*3</f>
        <v>1.44</v>
      </c>
      <c r="Z39" s="39"/>
    </row>
    <row r="40" spans="2:26" x14ac:dyDescent="0.25">
      <c r="B40" t="s">
        <v>76</v>
      </c>
      <c r="C40" s="27">
        <v>2</v>
      </c>
      <c r="D40" s="27">
        <f>C40*C39</f>
        <v>0</v>
      </c>
      <c r="I40" s="98"/>
      <c r="J40" s="5">
        <v>1.28</v>
      </c>
      <c r="K40" s="5">
        <f t="shared" si="0"/>
        <v>3.84</v>
      </c>
      <c r="L40" s="102"/>
      <c r="M40" t="s">
        <v>66</v>
      </c>
      <c r="N40" s="98"/>
      <c r="O40" s="18">
        <f>(N12*N10)-4-4+D37+D21</f>
        <v>125</v>
      </c>
      <c r="P40" s="9">
        <f>O40</f>
        <v>125</v>
      </c>
      <c r="R40" s="98"/>
      <c r="S40" s="18">
        <f>R12*R10</f>
        <v>48</v>
      </c>
      <c r="T40" s="18">
        <f>S40</f>
        <v>48</v>
      </c>
      <c r="U40" s="18"/>
      <c r="W40" s="98"/>
      <c r="X40" s="49">
        <v>2.74</v>
      </c>
      <c r="Y40" s="49">
        <f>X40*3</f>
        <v>8.2200000000000006</v>
      </c>
      <c r="Z40" s="39"/>
    </row>
    <row r="41" spans="2:26" x14ac:dyDescent="0.25">
      <c r="B41" t="s">
        <v>79</v>
      </c>
      <c r="C41" s="27">
        <v>2</v>
      </c>
      <c r="D41" s="27">
        <f>C41*C39</f>
        <v>0</v>
      </c>
      <c r="I41" s="98"/>
      <c r="J41" s="39">
        <v>4.34</v>
      </c>
      <c r="K41" s="39">
        <f t="shared" si="0"/>
        <v>13.02</v>
      </c>
      <c r="L41" s="102"/>
      <c r="M41" t="s">
        <v>66</v>
      </c>
      <c r="O41"/>
      <c r="P41" s="5"/>
      <c r="X41"/>
      <c r="Y41" s="9">
        <f>SUM(Y39:Y40)</f>
        <v>9.66</v>
      </c>
      <c r="Z41" s="39"/>
    </row>
    <row r="42" spans="2:26" x14ac:dyDescent="0.25">
      <c r="I42" s="98"/>
      <c r="J42" s="5">
        <v>5.6</v>
      </c>
      <c r="K42" s="39">
        <f t="shared" si="0"/>
        <v>16.799999999999997</v>
      </c>
      <c r="L42" s="102"/>
      <c r="M42" t="s">
        <v>66</v>
      </c>
      <c r="O42"/>
      <c r="P42" s="5"/>
      <c r="X42"/>
      <c r="Y42" s="34"/>
      <c r="Z42" s="39"/>
    </row>
    <row r="43" spans="2:26" x14ac:dyDescent="0.25">
      <c r="B43" t="s">
        <v>73</v>
      </c>
      <c r="C43" s="27">
        <v>1</v>
      </c>
      <c r="D43" s="27" t="s">
        <v>84</v>
      </c>
      <c r="I43" s="98"/>
      <c r="J43" s="39">
        <v>5.6</v>
      </c>
      <c r="K43" s="39">
        <f t="shared" si="0"/>
        <v>16.799999999999997</v>
      </c>
      <c r="L43" s="102"/>
      <c r="M43" t="s">
        <v>66</v>
      </c>
      <c r="O43"/>
      <c r="P43" s="5"/>
      <c r="X43"/>
      <c r="Y43" s="34"/>
      <c r="Z43" s="39"/>
    </row>
    <row r="44" spans="2:26" x14ac:dyDescent="0.25">
      <c r="B44" t="s">
        <v>76</v>
      </c>
      <c r="C44" s="27">
        <v>1</v>
      </c>
      <c r="D44" s="27">
        <f>C44*C43</f>
        <v>1</v>
      </c>
      <c r="I44" s="98"/>
      <c r="J44" s="39">
        <v>1.41</v>
      </c>
      <c r="K44" s="39">
        <f t="shared" si="0"/>
        <v>4.2299999999999995</v>
      </c>
      <c r="L44" s="102"/>
      <c r="M44" t="s">
        <v>66</v>
      </c>
      <c r="O44"/>
      <c r="P44" s="5"/>
      <c r="X44"/>
      <c r="Y44" s="34"/>
      <c r="Z44" s="39"/>
    </row>
    <row r="45" spans="2:26" x14ac:dyDescent="0.25">
      <c r="B45" t="s">
        <v>82</v>
      </c>
      <c r="C45" s="27">
        <v>1</v>
      </c>
      <c r="D45" s="27">
        <f>C45*C43</f>
        <v>1</v>
      </c>
      <c r="I45" s="98"/>
      <c r="J45" s="39">
        <v>1.41</v>
      </c>
      <c r="K45" s="39">
        <f t="shared" si="0"/>
        <v>4.2299999999999995</v>
      </c>
      <c r="M45" t="s">
        <v>66</v>
      </c>
      <c r="O45"/>
      <c r="P45" s="5"/>
      <c r="X45"/>
      <c r="Y45" s="34"/>
      <c r="Z45" s="39"/>
    </row>
    <row r="46" spans="2:26" x14ac:dyDescent="0.25">
      <c r="B46" t="s">
        <v>79</v>
      </c>
      <c r="C46" s="27">
        <v>1</v>
      </c>
      <c r="D46" s="27">
        <f>C46*C43</f>
        <v>1</v>
      </c>
      <c r="I46" s="98"/>
      <c r="J46" s="39">
        <v>3.64</v>
      </c>
      <c r="K46" s="39">
        <f t="shared" si="0"/>
        <v>10.92</v>
      </c>
      <c r="M46" t="s">
        <v>66</v>
      </c>
      <c r="O46"/>
      <c r="P46" s="5"/>
      <c r="X46"/>
      <c r="Y46" s="34"/>
      <c r="Z46" s="39"/>
    </row>
    <row r="47" spans="2:26" x14ac:dyDescent="0.25">
      <c r="I47" s="98"/>
      <c r="J47" s="39">
        <v>3.4</v>
      </c>
      <c r="K47" s="39">
        <f t="shared" si="0"/>
        <v>10.199999999999999</v>
      </c>
      <c r="M47" t="s">
        <v>66</v>
      </c>
      <c r="O47"/>
      <c r="P47" s="5"/>
      <c r="X47"/>
      <c r="Y47" s="34"/>
      <c r="Z47" s="39"/>
    </row>
    <row r="48" spans="2:26" x14ac:dyDescent="0.25">
      <c r="B48" t="s">
        <v>74</v>
      </c>
      <c r="C48" s="27">
        <v>0</v>
      </c>
      <c r="D48" s="27" t="s">
        <v>89</v>
      </c>
      <c r="I48" s="98"/>
      <c r="J48" s="39">
        <v>1.41</v>
      </c>
      <c r="K48" s="39">
        <f t="shared" si="0"/>
        <v>4.2299999999999995</v>
      </c>
      <c r="M48" t="s">
        <v>66</v>
      </c>
      <c r="O48"/>
      <c r="P48" s="5"/>
      <c r="X48"/>
      <c r="Y48" s="34"/>
      <c r="Z48" s="39"/>
    </row>
    <row r="49" spans="2:26" x14ac:dyDescent="0.25">
      <c r="B49" t="s">
        <v>76</v>
      </c>
      <c r="C49" s="27">
        <v>2</v>
      </c>
      <c r="D49" s="27">
        <f>C49*C48</f>
        <v>0</v>
      </c>
      <c r="I49" s="98"/>
      <c r="J49" s="39">
        <v>1.41</v>
      </c>
      <c r="K49" s="39">
        <f t="shared" si="0"/>
        <v>4.2299999999999995</v>
      </c>
      <c r="M49" t="s">
        <v>66</v>
      </c>
      <c r="O49"/>
      <c r="P49" s="5"/>
      <c r="X49"/>
      <c r="Y49" s="34"/>
      <c r="Z49" s="39"/>
    </row>
    <row r="50" spans="2:26" x14ac:dyDescent="0.25">
      <c r="B50" t="s">
        <v>79</v>
      </c>
      <c r="C50" s="27">
        <v>2</v>
      </c>
      <c r="D50" s="27">
        <f>C50*C48</f>
        <v>0</v>
      </c>
      <c r="I50" s="98"/>
      <c r="J50" s="39">
        <v>3.64</v>
      </c>
      <c r="K50" s="39">
        <f t="shared" si="0"/>
        <v>10.92</v>
      </c>
      <c r="M50" t="s">
        <v>66</v>
      </c>
      <c r="O50"/>
      <c r="P50" s="5"/>
      <c r="X50"/>
      <c r="Y50" s="34"/>
      <c r="Z50" s="39"/>
    </row>
    <row r="51" spans="2:26" x14ac:dyDescent="0.25">
      <c r="I51" s="98"/>
      <c r="J51" s="39">
        <v>2.7</v>
      </c>
      <c r="K51" s="39">
        <f t="shared" si="0"/>
        <v>8.1000000000000014</v>
      </c>
      <c r="M51" t="s">
        <v>66</v>
      </c>
      <c r="O51"/>
      <c r="P51" s="5"/>
      <c r="X51"/>
      <c r="Y51" s="34"/>
      <c r="Z51" s="39"/>
    </row>
    <row r="52" spans="2:26" x14ac:dyDescent="0.25">
      <c r="B52" t="s">
        <v>75</v>
      </c>
      <c r="C52" s="27">
        <v>0</v>
      </c>
      <c r="D52" s="27" t="s">
        <v>84</v>
      </c>
      <c r="I52" s="98"/>
      <c r="J52" s="39">
        <v>3.56</v>
      </c>
      <c r="K52" s="39">
        <f t="shared" si="0"/>
        <v>10.68</v>
      </c>
      <c r="M52" t="s">
        <v>66</v>
      </c>
      <c r="O52"/>
      <c r="P52" s="5"/>
      <c r="X52"/>
      <c r="Y52" s="34"/>
      <c r="Z52" s="39"/>
    </row>
    <row r="53" spans="2:26" x14ac:dyDescent="0.25">
      <c r="B53" t="s">
        <v>76</v>
      </c>
      <c r="C53" s="27">
        <v>1</v>
      </c>
      <c r="D53" s="27">
        <f>C53*C52</f>
        <v>0</v>
      </c>
      <c r="I53" s="98"/>
      <c r="J53" s="39">
        <v>7.1</v>
      </c>
      <c r="K53" s="39">
        <f t="shared" si="0"/>
        <v>21.299999999999997</v>
      </c>
      <c r="M53" t="s">
        <v>66</v>
      </c>
      <c r="O53"/>
      <c r="P53" s="5"/>
      <c r="X53"/>
      <c r="Y53" s="34"/>
      <c r="Z53" s="39"/>
    </row>
    <row r="54" spans="2:26" x14ac:dyDescent="0.25">
      <c r="B54" t="s">
        <v>82</v>
      </c>
      <c r="C54" s="27">
        <v>1</v>
      </c>
      <c r="D54" s="27">
        <f>C54*C52</f>
        <v>0</v>
      </c>
      <c r="I54" s="98"/>
      <c r="J54" s="39">
        <v>4.0999999999999996</v>
      </c>
      <c r="K54" s="39">
        <f t="shared" si="0"/>
        <v>12.299999999999999</v>
      </c>
      <c r="M54" t="s">
        <v>66</v>
      </c>
      <c r="O54"/>
      <c r="P54" s="5"/>
      <c r="X54"/>
      <c r="Y54" s="34"/>
      <c r="Z54" s="39"/>
    </row>
    <row r="55" spans="2:26" x14ac:dyDescent="0.25">
      <c r="B55" t="s">
        <v>79</v>
      </c>
      <c r="C55" s="27">
        <v>1</v>
      </c>
      <c r="D55" s="27">
        <f>C55*C52</f>
        <v>0</v>
      </c>
      <c r="I55" s="39"/>
      <c r="J55" s="39"/>
      <c r="K55" s="9">
        <f>SUM(K39:K54)</f>
        <v>155.64000000000004</v>
      </c>
      <c r="O55"/>
      <c r="P55" s="5"/>
      <c r="X55"/>
      <c r="Y55" s="34"/>
      <c r="Z55" s="39"/>
    </row>
    <row r="56" spans="2:26" x14ac:dyDescent="0.25">
      <c r="I56" s="39"/>
      <c r="J56" s="39"/>
      <c r="K56" s="39"/>
      <c r="O56"/>
      <c r="P56" s="5"/>
      <c r="X56"/>
      <c r="Y56" s="34"/>
      <c r="Z56" s="39"/>
    </row>
    <row r="57" spans="2:26" x14ac:dyDescent="0.25">
      <c r="I57" s="39"/>
      <c r="J57" s="39"/>
      <c r="K57" s="39"/>
      <c r="O57"/>
      <c r="P57" s="5"/>
      <c r="X57"/>
      <c r="Y57" s="34"/>
      <c r="Z57" s="39"/>
    </row>
    <row r="58" spans="2:26" x14ac:dyDescent="0.25">
      <c r="I58" s="98"/>
      <c r="J58" s="98"/>
      <c r="K58" s="98"/>
      <c r="O58"/>
      <c r="P58" s="5"/>
      <c r="X58"/>
      <c r="Y58" s="34"/>
      <c r="Z58" s="39"/>
    </row>
    <row r="59" spans="2:26" x14ac:dyDescent="0.25">
      <c r="I59" s="98" t="s">
        <v>38</v>
      </c>
      <c r="J59" s="101" t="s">
        <v>60</v>
      </c>
      <c r="K59" s="101"/>
      <c r="O59"/>
      <c r="P59" s="5"/>
      <c r="X59"/>
      <c r="Y59" s="34"/>
      <c r="Z59" s="39"/>
    </row>
    <row r="60" spans="2:26" x14ac:dyDescent="0.25">
      <c r="I60" s="98"/>
      <c r="J60" s="5">
        <f>3.53*2</f>
        <v>7.06</v>
      </c>
      <c r="K60" s="5" t="s">
        <v>66</v>
      </c>
      <c r="L60" s="48"/>
      <c r="O60"/>
      <c r="P60" s="5"/>
      <c r="X60"/>
      <c r="Y60" s="34"/>
      <c r="Z60" s="39"/>
    </row>
    <row r="61" spans="2:26" x14ac:dyDescent="0.25">
      <c r="I61" s="98"/>
      <c r="J61" s="5">
        <f>3.53*2</f>
        <v>7.06</v>
      </c>
      <c r="K61" s="5" t="s">
        <v>66</v>
      </c>
      <c r="L61" s="48"/>
      <c r="O61"/>
      <c r="P61" s="5"/>
      <c r="X61"/>
      <c r="Y61" s="34"/>
      <c r="Z61" s="39"/>
    </row>
    <row r="62" spans="2:26" x14ac:dyDescent="0.25">
      <c r="I62" s="98"/>
      <c r="J62" s="39">
        <f>3.24*2</f>
        <v>6.48</v>
      </c>
      <c r="K62" s="39" t="s">
        <v>66</v>
      </c>
      <c r="L62" s="48"/>
      <c r="O62"/>
      <c r="P62" s="5"/>
      <c r="X62"/>
      <c r="Y62" s="34"/>
      <c r="Z62" s="39"/>
    </row>
    <row r="63" spans="2:26" x14ac:dyDescent="0.25">
      <c r="I63" s="98"/>
      <c r="J63" s="5">
        <f>3.53*2</f>
        <v>7.06</v>
      </c>
      <c r="K63" s="39" t="s">
        <v>66</v>
      </c>
      <c r="L63" s="48"/>
      <c r="M63" t="s">
        <v>56</v>
      </c>
      <c r="N63" s="39">
        <v>3.53</v>
      </c>
      <c r="O63" s="39"/>
      <c r="P63" s="39"/>
      <c r="X63"/>
      <c r="Y63" s="34"/>
      <c r="Z63" s="39"/>
    </row>
    <row r="64" spans="2:26" x14ac:dyDescent="0.25">
      <c r="I64" s="98"/>
      <c r="J64" s="5">
        <f>3.53*2</f>
        <v>7.06</v>
      </c>
      <c r="K64" s="39" t="s">
        <v>66</v>
      </c>
      <c r="L64" s="48"/>
      <c r="M64" t="s">
        <v>63</v>
      </c>
      <c r="N64" s="39">
        <v>3.24</v>
      </c>
      <c r="O64" s="39"/>
      <c r="P64" s="39"/>
      <c r="X64"/>
      <c r="Y64" s="34"/>
      <c r="Z64" s="39"/>
    </row>
    <row r="65" spans="9:26" x14ac:dyDescent="0.25">
      <c r="I65" s="98"/>
      <c r="J65" s="39">
        <f>3.24*2</f>
        <v>6.48</v>
      </c>
      <c r="K65" s="39" t="s">
        <v>66</v>
      </c>
      <c r="L65" s="48"/>
      <c r="M65" t="s">
        <v>64</v>
      </c>
      <c r="N65" s="39">
        <v>3.24</v>
      </c>
      <c r="O65" s="39"/>
      <c r="P65" s="39"/>
      <c r="X65"/>
      <c r="Y65" s="34"/>
      <c r="Z65" s="39"/>
    </row>
    <row r="66" spans="9:26" x14ac:dyDescent="0.25">
      <c r="I66" s="98"/>
      <c r="J66" s="39">
        <f>3.24*2</f>
        <v>6.48</v>
      </c>
      <c r="K66" s="39" t="s">
        <v>66</v>
      </c>
      <c r="L66" s="48"/>
      <c r="M66" t="s">
        <v>65</v>
      </c>
      <c r="N66" s="39">
        <v>3.53</v>
      </c>
      <c r="O66" s="39"/>
      <c r="P66" s="39"/>
      <c r="X66"/>
      <c r="Y66" s="34"/>
      <c r="Z66" s="39"/>
    </row>
    <row r="67" spans="9:26" x14ac:dyDescent="0.25">
      <c r="I67" s="98"/>
      <c r="J67" s="39">
        <f>3.53*2</f>
        <v>7.06</v>
      </c>
      <c r="K67" s="39" t="s">
        <v>66</v>
      </c>
      <c r="N67" s="39"/>
      <c r="O67" s="39"/>
      <c r="P67" s="39"/>
      <c r="X67"/>
      <c r="Y67" s="34"/>
      <c r="Z67" s="39"/>
    </row>
    <row r="68" spans="9:26" x14ac:dyDescent="0.25">
      <c r="I68" s="98"/>
      <c r="J68" s="39">
        <f>3.53*2</f>
        <v>7.06</v>
      </c>
      <c r="K68" s="39" t="s">
        <v>66</v>
      </c>
      <c r="O68"/>
      <c r="P68" s="5"/>
      <c r="X68"/>
      <c r="Y68" s="34"/>
      <c r="Z68" s="39"/>
    </row>
    <row r="69" spans="9:26" x14ac:dyDescent="0.25">
      <c r="I69" s="98"/>
      <c r="J69" s="39">
        <f>3.24*2</f>
        <v>6.48</v>
      </c>
      <c r="K69" s="39" t="s">
        <v>66</v>
      </c>
      <c r="O69"/>
      <c r="P69" s="5"/>
      <c r="X69"/>
      <c r="Y69" s="34"/>
      <c r="Z69" s="39"/>
    </row>
    <row r="70" spans="9:26" x14ac:dyDescent="0.25">
      <c r="I70" s="98"/>
      <c r="J70" s="39">
        <f>3.24*2</f>
        <v>6.48</v>
      </c>
      <c r="K70" s="39" t="s">
        <v>66</v>
      </c>
      <c r="O70"/>
      <c r="P70" s="5"/>
      <c r="X70"/>
      <c r="Y70" s="34"/>
      <c r="Z70" s="39"/>
    </row>
    <row r="71" spans="9:26" x14ac:dyDescent="0.25">
      <c r="I71" s="98"/>
      <c r="J71" s="39">
        <f>3.24*2</f>
        <v>6.48</v>
      </c>
      <c r="K71" s="39" t="s">
        <v>66</v>
      </c>
      <c r="O71"/>
      <c r="P71" s="5"/>
      <c r="X71"/>
      <c r="Y71" s="34"/>
      <c r="Z71" s="39"/>
    </row>
    <row r="72" spans="9:26" x14ac:dyDescent="0.25">
      <c r="I72" s="98"/>
      <c r="J72" s="39">
        <f>3.24*2</f>
        <v>6.48</v>
      </c>
      <c r="K72" s="39" t="s">
        <v>66</v>
      </c>
      <c r="O72"/>
      <c r="P72" s="5"/>
      <c r="X72"/>
      <c r="Y72" s="34"/>
      <c r="Z72" s="39"/>
    </row>
    <row r="73" spans="9:26" x14ac:dyDescent="0.25">
      <c r="I73" s="98"/>
      <c r="J73" s="39">
        <f>3.24*2</f>
        <v>6.48</v>
      </c>
      <c r="K73" s="39" t="s">
        <v>66</v>
      </c>
      <c r="O73"/>
      <c r="P73" s="5"/>
      <c r="X73"/>
      <c r="Y73" s="34"/>
      <c r="Z73" s="39"/>
    </row>
    <row r="74" spans="9:26" x14ac:dyDescent="0.25">
      <c r="I74" s="98"/>
      <c r="J74" s="39"/>
      <c r="K74" s="39"/>
      <c r="O74"/>
      <c r="P74" s="5"/>
      <c r="X74"/>
      <c r="Y74" s="34"/>
      <c r="Z74" s="39"/>
    </row>
    <row r="75" spans="9:26" x14ac:dyDescent="0.25">
      <c r="I75" s="98"/>
      <c r="J75" s="39">
        <f>SUM(J60:J73)</f>
        <v>94.200000000000031</v>
      </c>
      <c r="K75" s="39"/>
      <c r="O75"/>
      <c r="P75" s="5"/>
      <c r="X75"/>
      <c r="Y75" s="34"/>
      <c r="Z75" s="39"/>
    </row>
    <row r="76" spans="9:26" x14ac:dyDescent="0.25">
      <c r="J76" s="39"/>
      <c r="K76" s="39"/>
    </row>
  </sheetData>
  <mergeCells count="33">
    <mergeCell ref="I58:K58"/>
    <mergeCell ref="I59:I75"/>
    <mergeCell ref="J59:K59"/>
    <mergeCell ref="I38:I54"/>
    <mergeCell ref="W37:W40"/>
    <mergeCell ref="X37:Y37"/>
    <mergeCell ref="J38:K38"/>
    <mergeCell ref="L39:L44"/>
    <mergeCell ref="R10:T10"/>
    <mergeCell ref="I37:K37"/>
    <mergeCell ref="N37:N40"/>
    <mergeCell ref="O37:P37"/>
    <mergeCell ref="R37:R40"/>
    <mergeCell ref="S37:U37"/>
    <mergeCell ref="I10:I13"/>
    <mergeCell ref="J10:K10"/>
    <mergeCell ref="M10:M13"/>
    <mergeCell ref="N10:O10"/>
    <mergeCell ref="Q10:Q13"/>
    <mergeCell ref="N24:Q24"/>
    <mergeCell ref="S24:S27"/>
    <mergeCell ref="T24:U24"/>
    <mergeCell ref="I17:I20"/>
    <mergeCell ref="J17:K17"/>
    <mergeCell ref="M17:M20"/>
    <mergeCell ref="N17:O17"/>
    <mergeCell ref="Q17:Q20"/>
    <mergeCell ref="R17:V17"/>
    <mergeCell ref="I29:I32"/>
    <mergeCell ref="J29:L29"/>
    <mergeCell ref="I24:I27"/>
    <mergeCell ref="J24:K24"/>
    <mergeCell ref="M24:M27"/>
  </mergeCells>
  <pageMargins left="0.7" right="0.7" top="0.75" bottom="0.75" header="0.3" footer="0.3"/>
  <pageSetup paperSize="9" orientation="portrait" r:id="rId1"/>
  <ignoredErrors>
    <ignoredError sqref="J6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B73"/>
  <sheetViews>
    <sheetView zoomScale="85" zoomScaleNormal="85" workbookViewId="0">
      <selection activeCell="Y4" sqref="Y4:Z5"/>
    </sheetView>
  </sheetViews>
  <sheetFormatPr defaultRowHeight="15" x14ac:dyDescent="0.25"/>
  <cols>
    <col min="3" max="3" width="9.140625" style="27"/>
    <col min="4" max="4" width="10.7109375" style="27" customWidth="1"/>
    <col min="5" max="10" width="9.140625" style="27"/>
    <col min="15" max="15" width="9.140625" style="5"/>
    <col min="24" max="24" width="9.140625" style="34"/>
    <col min="25" max="25" width="9.140625" style="27"/>
    <col min="26" max="26" width="9.140625" style="5"/>
  </cols>
  <sheetData>
    <row r="1" spans="2:28" x14ac:dyDescent="0.25">
      <c r="K1" s="27"/>
    </row>
    <row r="2" spans="2:28" x14ac:dyDescent="0.25">
      <c r="B2" t="s">
        <v>34</v>
      </c>
      <c r="C2" s="27">
        <v>1.1000000000000001</v>
      </c>
      <c r="D2" s="27">
        <v>1.5</v>
      </c>
      <c r="E2" s="5">
        <v>1.1000000000000001</v>
      </c>
      <c r="F2" s="27">
        <v>1.5</v>
      </c>
      <c r="G2" s="27">
        <v>1.5</v>
      </c>
      <c r="H2" s="27">
        <v>1.5</v>
      </c>
      <c r="I2" s="27">
        <v>1.1000000000000001</v>
      </c>
      <c r="J2" s="27">
        <v>1.1000000000000001</v>
      </c>
      <c r="K2" s="27">
        <v>1.1000000000000001</v>
      </c>
      <c r="L2" s="25">
        <f>SUM(C2:K2)</f>
        <v>11.499999999999998</v>
      </c>
      <c r="M2" s="27"/>
      <c r="N2" s="27"/>
      <c r="O2"/>
      <c r="X2"/>
      <c r="Y2"/>
      <c r="Z2"/>
    </row>
    <row r="3" spans="2:28" x14ac:dyDescent="0.25">
      <c r="C3" s="27" t="s">
        <v>64</v>
      </c>
      <c r="D3" s="27" t="s">
        <v>64</v>
      </c>
      <c r="E3" s="5" t="s">
        <v>64</v>
      </c>
      <c r="F3" s="27" t="s">
        <v>64</v>
      </c>
      <c r="G3" s="27" t="s">
        <v>64</v>
      </c>
      <c r="H3" s="27" t="s">
        <v>64</v>
      </c>
      <c r="I3" s="27" t="s">
        <v>64</v>
      </c>
      <c r="J3" s="27" t="s">
        <v>65</v>
      </c>
      <c r="K3" s="27" t="s">
        <v>64</v>
      </c>
      <c r="L3" s="27"/>
      <c r="M3" s="27"/>
      <c r="N3" s="27"/>
      <c r="O3"/>
      <c r="Y3" s="39" t="s">
        <v>96</v>
      </c>
    </row>
    <row r="4" spans="2:28" x14ac:dyDescent="0.25">
      <c r="C4" s="27" t="s">
        <v>64</v>
      </c>
      <c r="D4" s="27" t="s">
        <v>64</v>
      </c>
      <c r="E4" s="5" t="s">
        <v>64</v>
      </c>
      <c r="F4" s="27" t="s">
        <v>64</v>
      </c>
      <c r="G4" s="27" t="s">
        <v>64</v>
      </c>
      <c r="H4" s="27" t="s">
        <v>64</v>
      </c>
      <c r="I4" s="27" t="s">
        <v>64</v>
      </c>
      <c r="J4" s="27" t="s">
        <v>65</v>
      </c>
      <c r="K4" s="27" t="s">
        <v>64</v>
      </c>
      <c r="L4" s="27"/>
      <c r="M4" s="27"/>
      <c r="N4" s="27"/>
      <c r="O4"/>
      <c r="X4" s="47" t="s">
        <v>31</v>
      </c>
      <c r="Y4" s="37">
        <v>101</v>
      </c>
      <c r="Z4" s="40">
        <f>P38+S38</f>
        <v>101</v>
      </c>
    </row>
    <row r="5" spans="2:28" x14ac:dyDescent="0.25">
      <c r="D5"/>
      <c r="E5" s="5"/>
      <c r="K5" s="27"/>
      <c r="L5" s="27"/>
      <c r="M5" s="27"/>
      <c r="N5" s="27"/>
      <c r="O5"/>
      <c r="X5" s="47" t="s">
        <v>30</v>
      </c>
      <c r="Y5" s="37">
        <v>101</v>
      </c>
      <c r="Z5" s="40">
        <f>O38+T38</f>
        <v>101</v>
      </c>
    </row>
    <row r="6" spans="2:28" x14ac:dyDescent="0.25">
      <c r="B6" t="s">
        <v>33</v>
      </c>
      <c r="C6" s="27">
        <v>1.59</v>
      </c>
      <c r="E6" s="28">
        <f>SUM(C6:D6)</f>
        <v>1.59</v>
      </c>
      <c r="K6" s="27"/>
      <c r="L6" s="27"/>
      <c r="M6" s="27"/>
      <c r="N6" s="27"/>
      <c r="O6"/>
      <c r="X6" s="47" t="s">
        <v>58</v>
      </c>
      <c r="Y6" s="39">
        <v>104.37</v>
      </c>
      <c r="Z6" s="5">
        <f>K53+Y39</f>
        <v>99.36</v>
      </c>
      <c r="AA6" s="43"/>
      <c r="AB6" s="43"/>
    </row>
    <row r="7" spans="2:28" x14ac:dyDescent="0.25">
      <c r="C7" s="27" t="s">
        <v>56</v>
      </c>
      <c r="E7" s="5"/>
      <c r="K7" s="27"/>
      <c r="L7" s="27"/>
      <c r="M7" s="27"/>
      <c r="N7" s="27"/>
      <c r="O7"/>
      <c r="X7" s="47" t="s">
        <v>59</v>
      </c>
      <c r="Y7" s="39">
        <v>50.26</v>
      </c>
      <c r="Z7" s="5">
        <f>J73</f>
        <v>47.680000000000007</v>
      </c>
      <c r="AA7" s="43"/>
      <c r="AB7" s="43"/>
    </row>
    <row r="8" spans="2:28" x14ac:dyDescent="0.25">
      <c r="C8" s="27" t="s">
        <v>63</v>
      </c>
      <c r="E8" s="5"/>
      <c r="K8" s="27"/>
      <c r="L8" s="27"/>
      <c r="M8" s="27"/>
      <c r="N8" s="27"/>
      <c r="O8"/>
      <c r="X8" s="43"/>
      <c r="Y8" s="43"/>
      <c r="Z8" s="43"/>
      <c r="AA8" s="43"/>
      <c r="AB8" s="43"/>
    </row>
    <row r="9" spans="2:28" x14ac:dyDescent="0.25">
      <c r="X9" s="41"/>
      <c r="Y9" s="12" t="s">
        <v>96</v>
      </c>
      <c r="Z9" s="42"/>
      <c r="AA9" s="43"/>
      <c r="AB9" s="43"/>
    </row>
    <row r="10" spans="2:28" x14ac:dyDescent="0.25">
      <c r="B10" t="s">
        <v>56</v>
      </c>
      <c r="C10" s="26">
        <v>7</v>
      </c>
      <c r="D10" s="27" t="s">
        <v>55</v>
      </c>
      <c r="E10" s="27">
        <v>3.53</v>
      </c>
      <c r="I10" s="98" t="s">
        <v>32</v>
      </c>
      <c r="J10" s="100">
        <v>11</v>
      </c>
      <c r="K10" s="100"/>
      <c r="L10" s="30" t="s">
        <v>66</v>
      </c>
      <c r="M10" s="98" t="s">
        <v>38</v>
      </c>
      <c r="N10" s="100">
        <f>9*4</f>
        <v>36</v>
      </c>
      <c r="O10" s="100"/>
      <c r="P10" t="s">
        <v>66</v>
      </c>
      <c r="Q10" s="98" t="s">
        <v>28</v>
      </c>
      <c r="R10" s="100">
        <f>11*3</f>
        <v>33</v>
      </c>
      <c r="S10" s="100"/>
      <c r="T10" s="100"/>
      <c r="U10" t="s">
        <v>66</v>
      </c>
      <c r="X10" s="41">
        <v>1</v>
      </c>
      <c r="Y10" s="32">
        <v>11</v>
      </c>
      <c r="Z10" s="29">
        <f>D22+C10+C11</f>
        <v>11</v>
      </c>
      <c r="AA10" s="12">
        <f>U20+P27+D22</f>
        <v>11</v>
      </c>
      <c r="AB10" s="43"/>
    </row>
    <row r="11" spans="2:28" ht="18" customHeight="1" x14ac:dyDescent="0.25">
      <c r="B11" t="s">
        <v>63</v>
      </c>
      <c r="C11" s="26">
        <v>4</v>
      </c>
      <c r="D11" s="27" t="s">
        <v>55</v>
      </c>
      <c r="E11" s="27">
        <v>3.24</v>
      </c>
      <c r="I11" s="98"/>
      <c r="J11" s="9" t="s">
        <v>3</v>
      </c>
      <c r="K11" s="9" t="s">
        <v>4</v>
      </c>
      <c r="L11" s="9"/>
      <c r="M11" s="98"/>
      <c r="N11" s="9" t="s">
        <v>3</v>
      </c>
      <c r="O11" s="9" t="s">
        <v>48</v>
      </c>
      <c r="Q11" s="98"/>
      <c r="R11" s="9" t="s">
        <v>3</v>
      </c>
      <c r="S11" s="9" t="s">
        <v>29</v>
      </c>
      <c r="T11" s="9" t="s">
        <v>4</v>
      </c>
      <c r="X11" s="41">
        <v>2</v>
      </c>
      <c r="Y11" s="32">
        <v>18</v>
      </c>
      <c r="Z11" s="32">
        <f>C12+C13</f>
        <v>18</v>
      </c>
      <c r="AA11" s="12">
        <f>V20+L32</f>
        <v>18</v>
      </c>
      <c r="AB11" s="43"/>
    </row>
    <row r="12" spans="2:28" x14ac:dyDescent="0.25">
      <c r="B12" t="s">
        <v>64</v>
      </c>
      <c r="C12" s="26">
        <v>16</v>
      </c>
      <c r="D12" s="27" t="s">
        <v>52</v>
      </c>
      <c r="E12" s="27">
        <v>3.24</v>
      </c>
      <c r="I12" s="98"/>
      <c r="J12" s="5">
        <v>1</v>
      </c>
      <c r="K12" s="27">
        <v>1</v>
      </c>
      <c r="M12" s="98"/>
      <c r="N12" s="5">
        <v>2</v>
      </c>
      <c r="O12" s="27"/>
      <c r="Q12" s="98"/>
      <c r="R12" s="5">
        <v>1</v>
      </c>
      <c r="S12" s="5">
        <v>1</v>
      </c>
      <c r="T12" s="5">
        <v>1</v>
      </c>
      <c r="X12" s="41" t="s">
        <v>3</v>
      </c>
      <c r="Y12" s="32">
        <v>113</v>
      </c>
      <c r="Z12" s="32">
        <f>J13+N13+R13+J20</f>
        <v>113</v>
      </c>
      <c r="AA12" s="43"/>
      <c r="AB12" s="43"/>
    </row>
    <row r="13" spans="2:28" x14ac:dyDescent="0.25">
      <c r="B13" t="s">
        <v>65</v>
      </c>
      <c r="C13" s="26">
        <v>2</v>
      </c>
      <c r="D13" s="27" t="s">
        <v>52</v>
      </c>
      <c r="E13" s="27">
        <v>3.53</v>
      </c>
      <c r="I13" s="98"/>
      <c r="J13" s="18">
        <f>J12*J10</f>
        <v>11</v>
      </c>
      <c r="K13" s="9">
        <f>K12*J10</f>
        <v>11</v>
      </c>
      <c r="M13" s="98"/>
      <c r="N13" s="18">
        <f>(N12*N10)-4-4+D37+D21</f>
        <v>68</v>
      </c>
      <c r="O13" s="27"/>
      <c r="Q13" s="98"/>
      <c r="R13" s="18">
        <f>R12*R10</f>
        <v>33</v>
      </c>
      <c r="S13" s="18">
        <f>S12*R10</f>
        <v>33</v>
      </c>
      <c r="T13" s="18">
        <f>T12*R10</f>
        <v>33</v>
      </c>
      <c r="X13" s="41" t="s">
        <v>40</v>
      </c>
      <c r="Y13" s="32">
        <v>11</v>
      </c>
      <c r="Z13" s="32">
        <f>R20+N27</f>
        <v>11</v>
      </c>
      <c r="AA13" s="43"/>
      <c r="AB13" s="43"/>
    </row>
    <row r="14" spans="2:28" x14ac:dyDescent="0.25">
      <c r="N14" t="s">
        <v>92</v>
      </c>
      <c r="X14" s="41" t="s">
        <v>57</v>
      </c>
      <c r="Y14" s="32">
        <v>18</v>
      </c>
      <c r="Z14" s="32">
        <f>S20+O27</f>
        <v>18</v>
      </c>
      <c r="AA14" s="43"/>
      <c r="AB14" s="43"/>
    </row>
    <row r="15" spans="2:28" x14ac:dyDescent="0.25">
      <c r="B15" t="s">
        <v>62</v>
      </c>
      <c r="C15" s="27" t="s">
        <v>68</v>
      </c>
      <c r="D15" s="27" t="s">
        <v>70</v>
      </c>
      <c r="E15" s="11">
        <f>C10+C11+D22</f>
        <v>11</v>
      </c>
      <c r="X15" s="41" t="s">
        <v>29</v>
      </c>
      <c r="Y15" s="45">
        <v>27</v>
      </c>
      <c r="Z15" s="45">
        <f>S13</f>
        <v>33</v>
      </c>
      <c r="AA15" s="46" t="s">
        <v>95</v>
      </c>
      <c r="AB15" s="43"/>
    </row>
    <row r="16" spans="2:28" x14ac:dyDescent="0.25">
      <c r="B16" t="s">
        <v>62</v>
      </c>
      <c r="C16" s="27" t="s">
        <v>69</v>
      </c>
      <c r="D16" s="27" t="s">
        <v>71</v>
      </c>
      <c r="E16" s="9">
        <f>C12+C13</f>
        <v>18</v>
      </c>
      <c r="X16" s="41" t="s">
        <v>36</v>
      </c>
      <c r="Y16" s="32">
        <v>26</v>
      </c>
      <c r="Z16" s="32">
        <f>N20+T27</f>
        <v>26</v>
      </c>
      <c r="AA16" s="43">
        <f>C10+C11+C12+C13</f>
        <v>29</v>
      </c>
      <c r="AB16" s="43">
        <f>Z16+Z17</f>
        <v>29</v>
      </c>
    </row>
    <row r="17" spans="2:28" x14ac:dyDescent="0.25">
      <c r="I17" s="98" t="s">
        <v>83</v>
      </c>
      <c r="J17" s="100">
        <v>1</v>
      </c>
      <c r="K17" s="100"/>
      <c r="L17" s="30" t="s">
        <v>66</v>
      </c>
      <c r="M17" s="98" t="s">
        <v>35</v>
      </c>
      <c r="N17" s="100">
        <v>7</v>
      </c>
      <c r="O17" s="100"/>
      <c r="Q17" s="98" t="s">
        <v>39</v>
      </c>
      <c r="R17" s="100">
        <v>7</v>
      </c>
      <c r="S17" s="100"/>
      <c r="T17" s="100"/>
      <c r="U17" s="100"/>
      <c r="V17" s="100"/>
      <c r="X17" s="41" t="s">
        <v>47</v>
      </c>
      <c r="Y17" s="32">
        <v>3</v>
      </c>
      <c r="Z17" s="32">
        <f>J27</f>
        <v>3</v>
      </c>
      <c r="AA17" s="43"/>
      <c r="AB17" s="43"/>
    </row>
    <row r="18" spans="2:28" ht="27" x14ac:dyDescent="0.25">
      <c r="B18" t="s">
        <v>61</v>
      </c>
      <c r="C18" s="27">
        <v>0</v>
      </c>
      <c r="D18" s="27" t="s">
        <v>86</v>
      </c>
      <c r="I18" s="98"/>
      <c r="J18" s="9" t="s">
        <v>3</v>
      </c>
      <c r="K18" s="9" t="s">
        <v>48</v>
      </c>
      <c r="L18" s="9"/>
      <c r="M18" s="98"/>
      <c r="N18" s="9" t="s">
        <v>36</v>
      </c>
      <c r="O18" s="9" t="s">
        <v>37</v>
      </c>
      <c r="Q18" s="98"/>
      <c r="R18" s="16" t="s">
        <v>42</v>
      </c>
      <c r="S18" s="16" t="s">
        <v>41</v>
      </c>
      <c r="T18" s="9" t="s">
        <v>4</v>
      </c>
      <c r="U18" s="16" t="s">
        <v>43</v>
      </c>
      <c r="V18" s="16" t="s">
        <v>44</v>
      </c>
      <c r="X18" s="44" t="s">
        <v>88</v>
      </c>
      <c r="Y18" s="32">
        <v>0</v>
      </c>
      <c r="Z18" s="32">
        <f>J32</f>
        <v>0</v>
      </c>
      <c r="AA18" s="43"/>
      <c r="AB18" s="43"/>
    </row>
    <row r="19" spans="2:28" x14ac:dyDescent="0.25">
      <c r="B19" t="s">
        <v>76</v>
      </c>
      <c r="C19" s="27">
        <v>1</v>
      </c>
      <c r="D19" s="27">
        <f>C19*C18</f>
        <v>0</v>
      </c>
      <c r="I19" s="98"/>
      <c r="J19" s="5">
        <v>1</v>
      </c>
      <c r="K19" s="5"/>
      <c r="L19" s="5"/>
      <c r="M19" s="98"/>
      <c r="N19" s="5">
        <f>1</f>
        <v>1</v>
      </c>
      <c r="O19" s="5">
        <v>4</v>
      </c>
      <c r="Q19" s="98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41" t="s">
        <v>4</v>
      </c>
      <c r="Y19" s="45">
        <v>64</v>
      </c>
      <c r="Z19" s="45">
        <f>K13+T13+K20+T20+K32</f>
        <v>70</v>
      </c>
      <c r="AA19" s="46" t="s">
        <v>95</v>
      </c>
      <c r="AB19" s="43"/>
    </row>
    <row r="20" spans="2:28" x14ac:dyDescent="0.25">
      <c r="B20" t="s">
        <v>77</v>
      </c>
      <c r="C20" s="27">
        <v>1</v>
      </c>
      <c r="D20" s="27">
        <f>C20*C18</f>
        <v>0</v>
      </c>
      <c r="I20" s="98"/>
      <c r="J20" s="18">
        <f>J19*J17</f>
        <v>1</v>
      </c>
      <c r="K20" s="18"/>
      <c r="L20" s="18"/>
      <c r="M20" s="98"/>
      <c r="N20" s="18">
        <f>N19*N17+(X25*X22)+(X27*X31)+(D26*N19)+D30*N19+D41*N19+D46*N19+D50*N19+D55*N19</f>
        <v>25</v>
      </c>
      <c r="O20" s="18">
        <f>N20*O19</f>
        <v>100</v>
      </c>
      <c r="Q20" s="98"/>
      <c r="R20" s="9">
        <f>R19*R17+D19*R19+D33*R19</f>
        <v>8</v>
      </c>
      <c r="S20" s="9">
        <f>S19*D25+D29*S19+D40*S19+D44*S19+D50*S19+D53*S19</f>
        <v>18</v>
      </c>
      <c r="T20" s="9">
        <f>(R20+S20)*T19</f>
        <v>26</v>
      </c>
      <c r="U20" s="9">
        <f>R20*U19</f>
        <v>8</v>
      </c>
      <c r="V20" s="9">
        <f>S20*V19</f>
        <v>18</v>
      </c>
      <c r="X20" s="41" t="s">
        <v>37</v>
      </c>
      <c r="Y20" s="32">
        <v>104</v>
      </c>
      <c r="Z20" s="32">
        <f>O20+U27</f>
        <v>104</v>
      </c>
      <c r="AA20" s="43"/>
      <c r="AB20" s="43"/>
    </row>
    <row r="21" spans="2:28" x14ac:dyDescent="0.25">
      <c r="B21" t="s">
        <v>78</v>
      </c>
      <c r="C21" s="27">
        <v>1</v>
      </c>
      <c r="D21" s="27">
        <f>C21*C18</f>
        <v>0</v>
      </c>
      <c r="F21" s="27" t="s">
        <v>91</v>
      </c>
      <c r="X21" s="41"/>
      <c r="Y21" s="12"/>
      <c r="Z21" s="42"/>
      <c r="AA21" s="43"/>
      <c r="AB21" s="43"/>
    </row>
    <row r="22" spans="2:28" x14ac:dyDescent="0.25">
      <c r="B22" t="s">
        <v>68</v>
      </c>
      <c r="C22" s="27">
        <v>1</v>
      </c>
      <c r="D22" s="26">
        <f>C22*C18</f>
        <v>0</v>
      </c>
      <c r="X22" s="41"/>
      <c r="Y22" s="12"/>
      <c r="Z22" s="42"/>
      <c r="AA22" s="43"/>
      <c r="AB22" s="43"/>
    </row>
    <row r="23" spans="2:28" x14ac:dyDescent="0.25">
      <c r="X23" s="41"/>
      <c r="Y23" s="12"/>
      <c r="Z23" s="42"/>
      <c r="AA23" s="43"/>
      <c r="AB23" s="43"/>
    </row>
    <row r="24" spans="2:28" x14ac:dyDescent="0.25">
      <c r="B24" t="s">
        <v>51</v>
      </c>
      <c r="C24" s="27">
        <v>5</v>
      </c>
      <c r="D24" s="27" t="s">
        <v>84</v>
      </c>
      <c r="I24" s="98" t="s">
        <v>46</v>
      </c>
      <c r="J24" s="100">
        <v>2</v>
      </c>
      <c r="K24" s="100"/>
      <c r="L24" t="s">
        <v>66</v>
      </c>
      <c r="M24" s="98" t="s">
        <v>49</v>
      </c>
      <c r="N24" s="100">
        <v>2</v>
      </c>
      <c r="O24" s="100"/>
      <c r="P24" s="100"/>
      <c r="Q24" s="100"/>
      <c r="R24" s="31" t="s">
        <v>66</v>
      </c>
      <c r="S24" s="98" t="s">
        <v>54</v>
      </c>
      <c r="T24" s="100"/>
      <c r="U24" s="100"/>
    </row>
    <row r="25" spans="2:28" ht="27" x14ac:dyDescent="0.25">
      <c r="B25" s="21" t="s">
        <v>76</v>
      </c>
      <c r="C25" s="27">
        <v>2</v>
      </c>
      <c r="D25" s="27">
        <f>C25*C24</f>
        <v>10</v>
      </c>
      <c r="I25" s="98"/>
      <c r="J25" s="9" t="s">
        <v>47</v>
      </c>
      <c r="K25" s="9" t="s">
        <v>48</v>
      </c>
      <c r="M25" s="98"/>
      <c r="N25" s="16" t="s">
        <v>42</v>
      </c>
      <c r="O25" s="16" t="s">
        <v>41</v>
      </c>
      <c r="P25" s="16" t="s">
        <v>43</v>
      </c>
      <c r="Q25" s="16" t="s">
        <v>44</v>
      </c>
      <c r="R25" s="16"/>
      <c r="S25" s="98"/>
      <c r="T25" s="9" t="s">
        <v>36</v>
      </c>
      <c r="U25" s="9" t="s">
        <v>37</v>
      </c>
    </row>
    <row r="26" spans="2:28" x14ac:dyDescent="0.25">
      <c r="B26" s="21" t="s">
        <v>79</v>
      </c>
      <c r="C26" s="27">
        <v>2</v>
      </c>
      <c r="D26" s="27">
        <f>C26*C24</f>
        <v>10</v>
      </c>
      <c r="I26" s="98"/>
      <c r="J26" s="5">
        <v>1</v>
      </c>
      <c r="M26" s="98"/>
      <c r="N26" s="5">
        <v>1</v>
      </c>
      <c r="O26" s="5" t="s">
        <v>26</v>
      </c>
      <c r="P26" s="5">
        <f>N26</f>
        <v>1</v>
      </c>
      <c r="Q26" s="5" t="s">
        <v>26</v>
      </c>
      <c r="R26" s="5"/>
      <c r="S26" s="98"/>
      <c r="T26" s="5">
        <v>1</v>
      </c>
      <c r="U26" s="5">
        <f>T26*4</f>
        <v>4</v>
      </c>
    </row>
    <row r="27" spans="2:28" x14ac:dyDescent="0.25">
      <c r="I27" s="98"/>
      <c r="J27" s="18">
        <f>J26*J24+D36*J26</f>
        <v>3</v>
      </c>
      <c r="M27" s="98"/>
      <c r="N27" s="9">
        <f>N26*N24+D34*N26</f>
        <v>3</v>
      </c>
      <c r="O27" s="9"/>
      <c r="P27" s="9">
        <f>N27*P26</f>
        <v>3</v>
      </c>
      <c r="S27" s="98"/>
      <c r="T27" s="18">
        <f>D20*T26+D35*T26</f>
        <v>1</v>
      </c>
      <c r="U27" s="18">
        <f>T27*U26</f>
        <v>4</v>
      </c>
    </row>
    <row r="28" spans="2:28" x14ac:dyDescent="0.25">
      <c r="B28" t="s">
        <v>50</v>
      </c>
      <c r="C28" s="27">
        <v>4</v>
      </c>
      <c r="D28" s="27" t="s">
        <v>84</v>
      </c>
    </row>
    <row r="29" spans="2:28" x14ac:dyDescent="0.25">
      <c r="B29" t="s">
        <v>76</v>
      </c>
      <c r="C29" s="27">
        <v>2</v>
      </c>
      <c r="D29" s="27">
        <f>C29*C28</f>
        <v>8</v>
      </c>
      <c r="I29" s="98" t="s">
        <v>87</v>
      </c>
      <c r="J29" s="103"/>
      <c r="K29" s="103"/>
      <c r="L29" s="103"/>
    </row>
    <row r="30" spans="2:28" x14ac:dyDescent="0.25">
      <c r="B30" t="s">
        <v>79</v>
      </c>
      <c r="C30" s="27">
        <v>2</v>
      </c>
      <c r="D30" s="27">
        <f>C30*C28</f>
        <v>8</v>
      </c>
      <c r="I30" s="98"/>
      <c r="J30" s="18" t="s">
        <v>88</v>
      </c>
      <c r="K30" s="18" t="s">
        <v>4</v>
      </c>
      <c r="L30" s="18">
        <v>2</v>
      </c>
    </row>
    <row r="31" spans="2:28" x14ac:dyDescent="0.25">
      <c r="I31" s="98"/>
      <c r="J31" s="5">
        <v>2</v>
      </c>
      <c r="K31" s="5">
        <v>2</v>
      </c>
      <c r="L31" s="5">
        <v>1</v>
      </c>
    </row>
    <row r="32" spans="2:28" x14ac:dyDescent="0.25">
      <c r="B32" t="s">
        <v>53</v>
      </c>
      <c r="C32" s="27">
        <v>1</v>
      </c>
      <c r="D32" s="33" t="s">
        <v>85</v>
      </c>
      <c r="I32" s="98"/>
      <c r="J32" s="9">
        <f>J31*D45+D54*J31</f>
        <v>0</v>
      </c>
      <c r="K32" s="9">
        <f>D45*K31+D54*K31</f>
        <v>0</v>
      </c>
      <c r="L32" s="9">
        <f>D45*L31+D54*L31</f>
        <v>0</v>
      </c>
    </row>
    <row r="33" spans="2:26" x14ac:dyDescent="0.25">
      <c r="B33" t="s">
        <v>76</v>
      </c>
      <c r="C33" s="27">
        <v>1</v>
      </c>
      <c r="D33" s="27">
        <f>C33*C32</f>
        <v>1</v>
      </c>
    </row>
    <row r="34" spans="2:26" x14ac:dyDescent="0.25">
      <c r="B34" t="s">
        <v>80</v>
      </c>
      <c r="C34" s="27">
        <v>1</v>
      </c>
      <c r="D34" s="27">
        <f>C34*C32</f>
        <v>1</v>
      </c>
    </row>
    <row r="35" spans="2:26" x14ac:dyDescent="0.25">
      <c r="B35" t="s">
        <v>77</v>
      </c>
      <c r="C35" s="27">
        <v>1</v>
      </c>
      <c r="D35" s="27">
        <f>C35*C32</f>
        <v>1</v>
      </c>
      <c r="I35" s="98"/>
      <c r="J35" s="98"/>
      <c r="K35" s="98"/>
      <c r="N35" s="98" t="s">
        <v>38</v>
      </c>
      <c r="O35" s="100"/>
      <c r="P35" s="100"/>
      <c r="R35" s="98" t="s">
        <v>28</v>
      </c>
      <c r="S35" s="100"/>
      <c r="T35" s="100"/>
      <c r="U35" s="100"/>
      <c r="W35" s="98" t="s">
        <v>83</v>
      </c>
      <c r="X35" s="100"/>
      <c r="Y35" s="100"/>
      <c r="Z35" s="39"/>
    </row>
    <row r="36" spans="2:26" x14ac:dyDescent="0.25">
      <c r="B36" t="s">
        <v>81</v>
      </c>
      <c r="C36" s="27">
        <v>1</v>
      </c>
      <c r="D36" s="27">
        <f>C36*C32</f>
        <v>1</v>
      </c>
      <c r="I36" s="98" t="s">
        <v>32</v>
      </c>
      <c r="J36" s="101" t="s">
        <v>98</v>
      </c>
      <c r="K36" s="101"/>
      <c r="N36" s="98"/>
      <c r="O36" s="9" t="s">
        <v>30</v>
      </c>
      <c r="P36" s="9" t="s">
        <v>31</v>
      </c>
      <c r="R36" s="98"/>
      <c r="S36" s="9" t="s">
        <v>31</v>
      </c>
      <c r="T36" s="9" t="s">
        <v>30</v>
      </c>
      <c r="U36" s="9"/>
      <c r="W36" s="98"/>
      <c r="X36" s="9" t="s">
        <v>58</v>
      </c>
      <c r="Y36" s="9"/>
      <c r="Z36" s="39"/>
    </row>
    <row r="37" spans="2:26" x14ac:dyDescent="0.25">
      <c r="B37" t="s">
        <v>78</v>
      </c>
      <c r="C37" s="27">
        <v>4</v>
      </c>
      <c r="D37" s="27">
        <f>C37*C32</f>
        <v>4</v>
      </c>
      <c r="F37" s="27" t="s">
        <v>91</v>
      </c>
      <c r="I37" s="98"/>
      <c r="J37" s="5">
        <v>1.28</v>
      </c>
      <c r="K37" s="5">
        <f t="shared" ref="K37:K52" si="0">J37*3</f>
        <v>3.84</v>
      </c>
      <c r="L37" s="102" t="s">
        <v>99</v>
      </c>
      <c r="N37" s="98"/>
      <c r="O37" s="5">
        <v>2</v>
      </c>
      <c r="P37" s="39">
        <v>2</v>
      </c>
      <c r="R37" s="98"/>
      <c r="S37" s="5">
        <v>1</v>
      </c>
      <c r="T37" s="5">
        <v>1</v>
      </c>
      <c r="U37" s="5"/>
      <c r="W37" s="98"/>
      <c r="X37" s="5">
        <v>0.48</v>
      </c>
      <c r="Y37" s="5">
        <f>X37*3</f>
        <v>1.44</v>
      </c>
      <c r="Z37" s="39"/>
    </row>
    <row r="38" spans="2:26" x14ac:dyDescent="0.25">
      <c r="I38" s="98"/>
      <c r="J38" s="5">
        <v>1.28</v>
      </c>
      <c r="K38" s="5">
        <f t="shared" si="0"/>
        <v>3.84</v>
      </c>
      <c r="L38" s="102"/>
      <c r="N38" s="98"/>
      <c r="O38" s="18">
        <f>(N12*N10)-4-4+D37+D21</f>
        <v>68</v>
      </c>
      <c r="P38" s="9">
        <f>O38</f>
        <v>68</v>
      </c>
      <c r="R38" s="98"/>
      <c r="S38" s="18">
        <f>R12*R10</f>
        <v>33</v>
      </c>
      <c r="T38" s="18">
        <f>S38</f>
        <v>33</v>
      </c>
      <c r="U38" s="18"/>
      <c r="W38" s="98"/>
      <c r="X38" s="49">
        <v>2.74</v>
      </c>
      <c r="Y38" s="49">
        <f>X38*3</f>
        <v>8.2200000000000006</v>
      </c>
      <c r="Z38" s="39"/>
    </row>
    <row r="39" spans="2:26" x14ac:dyDescent="0.25">
      <c r="B39" t="s">
        <v>72</v>
      </c>
      <c r="C39" s="27">
        <v>0</v>
      </c>
      <c r="D39" s="27" t="s">
        <v>84</v>
      </c>
      <c r="I39" s="98"/>
      <c r="J39" s="39">
        <v>4.34</v>
      </c>
      <c r="K39" s="39">
        <f t="shared" si="0"/>
        <v>13.02</v>
      </c>
      <c r="L39" s="102"/>
      <c r="O39"/>
      <c r="P39" s="5"/>
      <c r="X39"/>
      <c r="Y39" s="9">
        <f>SUM(Y37:Y38)</f>
        <v>9.66</v>
      </c>
      <c r="Z39" s="39"/>
    </row>
    <row r="40" spans="2:26" x14ac:dyDescent="0.25">
      <c r="B40" t="s">
        <v>76</v>
      </c>
      <c r="C40" s="27">
        <v>2</v>
      </c>
      <c r="D40" s="27">
        <f>C40*C39</f>
        <v>0</v>
      </c>
      <c r="I40" s="98"/>
      <c r="J40" s="5">
        <v>5.6</v>
      </c>
      <c r="K40" s="39">
        <f t="shared" si="0"/>
        <v>16.799999999999997</v>
      </c>
      <c r="L40" s="102"/>
      <c r="O40"/>
      <c r="P40" s="5"/>
      <c r="X40"/>
      <c r="Y40" s="34"/>
      <c r="Z40" s="39"/>
    </row>
    <row r="41" spans="2:26" x14ac:dyDescent="0.25">
      <c r="B41" t="s">
        <v>79</v>
      </c>
      <c r="C41" s="27">
        <v>2</v>
      </c>
      <c r="D41" s="27">
        <f>C41*C39</f>
        <v>0</v>
      </c>
      <c r="I41" s="98"/>
      <c r="J41" s="39">
        <v>5.6</v>
      </c>
      <c r="K41" s="39">
        <f t="shared" si="0"/>
        <v>16.799999999999997</v>
      </c>
      <c r="L41" s="102"/>
      <c r="O41"/>
      <c r="P41" s="5"/>
      <c r="X41"/>
      <c r="Y41" s="34"/>
      <c r="Z41" s="39"/>
    </row>
    <row r="42" spans="2:26" x14ac:dyDescent="0.25">
      <c r="I42" s="98"/>
      <c r="J42" s="39">
        <v>3.64</v>
      </c>
      <c r="K42" s="39">
        <f t="shared" si="0"/>
        <v>10.92</v>
      </c>
      <c r="L42" s="102"/>
      <c r="O42"/>
      <c r="P42" s="5"/>
      <c r="X42"/>
      <c r="Y42" s="34"/>
      <c r="Z42" s="39"/>
    </row>
    <row r="43" spans="2:26" x14ac:dyDescent="0.25">
      <c r="B43" t="s">
        <v>73</v>
      </c>
      <c r="C43" s="27">
        <v>0</v>
      </c>
      <c r="D43" s="27" t="s">
        <v>84</v>
      </c>
      <c r="I43" s="98"/>
      <c r="J43" s="39">
        <v>1.4</v>
      </c>
      <c r="K43" s="39">
        <f t="shared" si="0"/>
        <v>4.1999999999999993</v>
      </c>
      <c r="O43"/>
      <c r="P43" s="5"/>
      <c r="X43"/>
      <c r="Y43" s="34"/>
      <c r="Z43" s="39"/>
    </row>
    <row r="44" spans="2:26" x14ac:dyDescent="0.25">
      <c r="B44" t="s">
        <v>76</v>
      </c>
      <c r="C44" s="27">
        <v>1</v>
      </c>
      <c r="D44" s="27">
        <f>C44*C43</f>
        <v>0</v>
      </c>
      <c r="I44" s="98"/>
      <c r="J44" s="39">
        <v>2.66</v>
      </c>
      <c r="K44" s="39">
        <f t="shared" si="0"/>
        <v>7.98</v>
      </c>
      <c r="O44"/>
      <c r="P44" s="5"/>
      <c r="X44"/>
      <c r="Y44" s="34"/>
      <c r="Z44" s="39"/>
    </row>
    <row r="45" spans="2:26" x14ac:dyDescent="0.25">
      <c r="B45" t="s">
        <v>82</v>
      </c>
      <c r="C45" s="27">
        <v>1</v>
      </c>
      <c r="D45" s="27">
        <f>C45*C43</f>
        <v>0</v>
      </c>
      <c r="I45" s="98"/>
      <c r="J45" s="39">
        <v>4.0999999999999996</v>
      </c>
      <c r="K45" s="39">
        <f t="shared" si="0"/>
        <v>12.299999999999999</v>
      </c>
      <c r="O45"/>
      <c r="P45" s="5"/>
      <c r="X45"/>
      <c r="Y45" s="34"/>
      <c r="Z45" s="39"/>
    </row>
    <row r="46" spans="2:26" x14ac:dyDescent="0.25">
      <c r="B46" t="s">
        <v>79</v>
      </c>
      <c r="C46" s="27">
        <v>1</v>
      </c>
      <c r="D46" s="27">
        <f>C46*C43</f>
        <v>0</v>
      </c>
      <c r="I46" s="98"/>
      <c r="J46" s="39"/>
      <c r="K46" s="39">
        <f t="shared" si="0"/>
        <v>0</v>
      </c>
      <c r="O46"/>
      <c r="P46" s="5"/>
      <c r="X46"/>
      <c r="Y46" s="34"/>
      <c r="Z46" s="39"/>
    </row>
    <row r="47" spans="2:26" x14ac:dyDescent="0.25">
      <c r="I47" s="98"/>
      <c r="J47" s="39"/>
      <c r="K47" s="39">
        <f t="shared" si="0"/>
        <v>0</v>
      </c>
      <c r="O47"/>
      <c r="P47" s="5"/>
      <c r="X47"/>
      <c r="Y47" s="34"/>
      <c r="Z47" s="39"/>
    </row>
    <row r="48" spans="2:26" x14ac:dyDescent="0.25">
      <c r="B48" t="s">
        <v>74</v>
      </c>
      <c r="C48" s="27">
        <v>0</v>
      </c>
      <c r="D48" s="27" t="s">
        <v>89</v>
      </c>
      <c r="I48" s="98"/>
      <c r="J48" s="39"/>
      <c r="K48" s="39">
        <f t="shared" si="0"/>
        <v>0</v>
      </c>
      <c r="O48"/>
      <c r="P48" s="5"/>
      <c r="X48"/>
      <c r="Y48" s="34"/>
      <c r="Z48" s="39"/>
    </row>
    <row r="49" spans="2:26" x14ac:dyDescent="0.25">
      <c r="B49" t="s">
        <v>76</v>
      </c>
      <c r="C49" s="27">
        <v>2</v>
      </c>
      <c r="D49" s="27">
        <f>C49*C48</f>
        <v>0</v>
      </c>
      <c r="I49" s="98"/>
      <c r="J49" s="39"/>
      <c r="K49" s="39">
        <f t="shared" si="0"/>
        <v>0</v>
      </c>
      <c r="O49"/>
      <c r="P49" s="5"/>
      <c r="X49"/>
      <c r="Y49" s="34"/>
      <c r="Z49" s="39"/>
    </row>
    <row r="50" spans="2:26" x14ac:dyDescent="0.25">
      <c r="B50" t="s">
        <v>79</v>
      </c>
      <c r="C50" s="27">
        <v>2</v>
      </c>
      <c r="D50" s="27">
        <f>C50*C48</f>
        <v>0</v>
      </c>
      <c r="I50" s="98"/>
      <c r="J50" s="39"/>
      <c r="K50" s="39">
        <f t="shared" si="0"/>
        <v>0</v>
      </c>
      <c r="O50"/>
      <c r="P50" s="5"/>
      <c r="X50"/>
      <c r="Y50" s="34"/>
      <c r="Z50" s="39"/>
    </row>
    <row r="51" spans="2:26" x14ac:dyDescent="0.25">
      <c r="I51" s="98"/>
      <c r="J51" s="39"/>
      <c r="K51" s="39">
        <f t="shared" si="0"/>
        <v>0</v>
      </c>
      <c r="O51"/>
      <c r="P51" s="5"/>
      <c r="X51"/>
      <c r="Y51" s="34"/>
      <c r="Z51" s="39"/>
    </row>
    <row r="52" spans="2:26" x14ac:dyDescent="0.25">
      <c r="B52" t="s">
        <v>75</v>
      </c>
      <c r="C52" s="27">
        <v>0</v>
      </c>
      <c r="D52" s="27" t="s">
        <v>84</v>
      </c>
      <c r="I52" s="98"/>
      <c r="J52" s="39"/>
      <c r="K52" s="39">
        <f t="shared" si="0"/>
        <v>0</v>
      </c>
      <c r="O52"/>
      <c r="P52" s="5"/>
      <c r="X52"/>
      <c r="Y52" s="34"/>
      <c r="Z52" s="39"/>
    </row>
    <row r="53" spans="2:26" x14ac:dyDescent="0.25">
      <c r="B53" t="s">
        <v>76</v>
      </c>
      <c r="C53" s="27">
        <v>1</v>
      </c>
      <c r="D53" s="27">
        <f>C53*C52</f>
        <v>0</v>
      </c>
      <c r="I53" s="39"/>
      <c r="J53" s="39"/>
      <c r="K53" s="9">
        <f>SUM(K37:K52)</f>
        <v>89.7</v>
      </c>
      <c r="O53"/>
      <c r="P53" s="5"/>
      <c r="X53"/>
      <c r="Y53" s="34"/>
      <c r="Z53" s="39"/>
    </row>
    <row r="54" spans="2:26" x14ac:dyDescent="0.25">
      <c r="B54" t="s">
        <v>82</v>
      </c>
      <c r="C54" s="27">
        <v>1</v>
      </c>
      <c r="D54" s="27">
        <f>C54*C52</f>
        <v>0</v>
      </c>
      <c r="I54" s="39"/>
      <c r="J54" s="39"/>
      <c r="K54" s="39"/>
      <c r="O54"/>
      <c r="P54" s="5"/>
      <c r="X54"/>
      <c r="Y54" s="34"/>
      <c r="Z54" s="39"/>
    </row>
    <row r="55" spans="2:26" x14ac:dyDescent="0.25">
      <c r="B55" t="s">
        <v>79</v>
      </c>
      <c r="C55" s="27">
        <v>1</v>
      </c>
      <c r="D55" s="27">
        <f>C55*C52</f>
        <v>0</v>
      </c>
      <c r="I55" s="39"/>
      <c r="J55" s="39"/>
      <c r="K55" s="39"/>
      <c r="O55"/>
      <c r="P55" s="5"/>
      <c r="X55"/>
      <c r="Y55" s="34"/>
      <c r="Z55" s="39"/>
    </row>
    <row r="56" spans="2:26" x14ac:dyDescent="0.25">
      <c r="I56" s="98"/>
      <c r="J56" s="98"/>
      <c r="K56" s="98"/>
      <c r="O56"/>
      <c r="P56" s="5"/>
      <c r="X56"/>
      <c r="Y56" s="34"/>
      <c r="Z56" s="39"/>
    </row>
    <row r="57" spans="2:26" x14ac:dyDescent="0.25">
      <c r="I57" s="98" t="s">
        <v>38</v>
      </c>
      <c r="J57" s="101" t="s">
        <v>60</v>
      </c>
      <c r="K57" s="101"/>
      <c r="O57"/>
      <c r="P57" s="5"/>
      <c r="X57"/>
      <c r="Y57" s="34"/>
      <c r="Z57" s="39"/>
    </row>
    <row r="58" spans="2:26" x14ac:dyDescent="0.25">
      <c r="I58" s="98"/>
      <c r="J58" s="5">
        <f>3.53*2</f>
        <v>7.06</v>
      </c>
      <c r="K58" s="5" t="s">
        <v>66</v>
      </c>
      <c r="L58" s="48"/>
      <c r="O58"/>
      <c r="P58" s="5"/>
      <c r="X58"/>
      <c r="Y58" s="34"/>
      <c r="Z58" s="39"/>
    </row>
    <row r="59" spans="2:26" x14ac:dyDescent="0.25">
      <c r="I59" s="98"/>
      <c r="J59" s="5">
        <f>3.53*2</f>
        <v>7.06</v>
      </c>
      <c r="K59" s="5" t="s">
        <v>66</v>
      </c>
      <c r="L59" s="48"/>
      <c r="O59"/>
      <c r="P59" s="5"/>
      <c r="X59"/>
      <c r="Y59" s="34"/>
      <c r="Z59" s="39"/>
    </row>
    <row r="60" spans="2:26" x14ac:dyDescent="0.25">
      <c r="I60" s="98"/>
      <c r="J60" s="39">
        <f>3.24*2</f>
        <v>6.48</v>
      </c>
      <c r="K60" s="39" t="s">
        <v>66</v>
      </c>
      <c r="L60" s="48"/>
      <c r="O60"/>
      <c r="P60" s="5"/>
      <c r="X60"/>
      <c r="Y60" s="34"/>
      <c r="Z60" s="39"/>
    </row>
    <row r="61" spans="2:26" x14ac:dyDescent="0.25">
      <c r="I61" s="98"/>
      <c r="J61" s="5">
        <f>3.53*2</f>
        <v>7.06</v>
      </c>
      <c r="K61" s="39" t="s">
        <v>66</v>
      </c>
      <c r="L61" s="48"/>
      <c r="M61" t="s">
        <v>56</v>
      </c>
      <c r="N61" s="39">
        <v>3.53</v>
      </c>
      <c r="O61" s="39"/>
      <c r="P61" s="39"/>
      <c r="X61"/>
      <c r="Y61" s="34"/>
      <c r="Z61" s="39"/>
    </row>
    <row r="62" spans="2:26" x14ac:dyDescent="0.25">
      <c r="I62" s="98"/>
      <c r="J62" s="5">
        <f>3.53*2</f>
        <v>7.06</v>
      </c>
      <c r="K62" s="39" t="s">
        <v>66</v>
      </c>
      <c r="L62" s="48"/>
      <c r="M62" t="s">
        <v>63</v>
      </c>
      <c r="N62" s="39">
        <v>3.24</v>
      </c>
      <c r="O62" s="39"/>
      <c r="P62" s="39"/>
      <c r="X62"/>
      <c r="Y62" s="34"/>
      <c r="Z62" s="39"/>
    </row>
    <row r="63" spans="2:26" x14ac:dyDescent="0.25">
      <c r="I63" s="98"/>
      <c r="J63" s="39">
        <f>3.24*2</f>
        <v>6.48</v>
      </c>
      <c r="K63" s="39" t="s">
        <v>66</v>
      </c>
      <c r="L63" s="48"/>
      <c r="M63" t="s">
        <v>64</v>
      </c>
      <c r="N63" s="39">
        <v>3.24</v>
      </c>
      <c r="O63" s="39"/>
      <c r="P63" s="39"/>
      <c r="X63"/>
      <c r="Y63" s="34"/>
      <c r="Z63" s="39"/>
    </row>
    <row r="64" spans="2:26" x14ac:dyDescent="0.25">
      <c r="I64" s="98"/>
      <c r="J64" s="39">
        <f>3.24*2</f>
        <v>6.48</v>
      </c>
      <c r="K64" s="39" t="s">
        <v>66</v>
      </c>
      <c r="L64" s="48"/>
      <c r="M64" t="s">
        <v>65</v>
      </c>
      <c r="N64" s="39">
        <v>3.53</v>
      </c>
      <c r="O64" s="39"/>
      <c r="P64" s="39"/>
      <c r="X64"/>
      <c r="Y64" s="34"/>
      <c r="Z64" s="39"/>
    </row>
    <row r="65" spans="9:26" x14ac:dyDescent="0.25">
      <c r="I65" s="98"/>
      <c r="J65" s="39"/>
      <c r="K65" s="39"/>
      <c r="N65" s="39"/>
      <c r="O65" s="39"/>
      <c r="P65" s="39"/>
      <c r="X65"/>
      <c r="Y65" s="34"/>
      <c r="Z65" s="39"/>
    </row>
    <row r="66" spans="9:26" x14ac:dyDescent="0.25">
      <c r="I66" s="98"/>
      <c r="J66" s="39"/>
      <c r="K66" s="39"/>
      <c r="O66"/>
      <c r="P66" s="5"/>
      <c r="X66"/>
      <c r="Y66" s="34"/>
      <c r="Z66" s="39"/>
    </row>
    <row r="67" spans="9:26" x14ac:dyDescent="0.25">
      <c r="I67" s="98"/>
      <c r="J67" s="39"/>
      <c r="K67" s="39"/>
      <c r="O67"/>
      <c r="P67" s="5"/>
      <c r="X67"/>
      <c r="Y67" s="34"/>
      <c r="Z67" s="39"/>
    </row>
    <row r="68" spans="9:26" x14ac:dyDescent="0.25">
      <c r="I68" s="98"/>
      <c r="J68" s="39"/>
      <c r="K68" s="39"/>
      <c r="O68"/>
      <c r="P68" s="5"/>
      <c r="X68"/>
      <c r="Y68" s="34"/>
      <c r="Z68" s="39"/>
    </row>
    <row r="69" spans="9:26" x14ac:dyDescent="0.25">
      <c r="I69" s="98"/>
      <c r="J69" s="39"/>
      <c r="K69" s="39"/>
      <c r="O69"/>
      <c r="P69" s="5"/>
      <c r="X69"/>
      <c r="Y69" s="34"/>
      <c r="Z69" s="39"/>
    </row>
    <row r="70" spans="9:26" x14ac:dyDescent="0.25">
      <c r="I70" s="98"/>
      <c r="J70" s="39"/>
      <c r="K70" s="39"/>
      <c r="O70"/>
      <c r="P70" s="5"/>
      <c r="X70"/>
      <c r="Y70" s="34"/>
      <c r="Z70" s="39"/>
    </row>
    <row r="71" spans="9:26" x14ac:dyDescent="0.25">
      <c r="I71" s="98"/>
      <c r="J71" s="39"/>
      <c r="K71" s="39"/>
      <c r="O71"/>
      <c r="P71" s="5"/>
      <c r="X71"/>
      <c r="Y71" s="34"/>
      <c r="Z71" s="39"/>
    </row>
    <row r="72" spans="9:26" x14ac:dyDescent="0.25">
      <c r="I72" s="98"/>
      <c r="J72" s="39"/>
      <c r="K72" s="39"/>
      <c r="O72"/>
      <c r="P72" s="5"/>
      <c r="X72"/>
      <c r="Y72" s="34"/>
      <c r="Z72" s="39"/>
    </row>
    <row r="73" spans="9:26" x14ac:dyDescent="0.25">
      <c r="I73" s="98"/>
      <c r="J73" s="39">
        <f>SUM(J58:J64)</f>
        <v>47.680000000000007</v>
      </c>
      <c r="K73" s="39"/>
      <c r="O73"/>
      <c r="P73" s="5"/>
      <c r="X73"/>
      <c r="Y73" s="34"/>
      <c r="Z73" s="39"/>
    </row>
  </sheetData>
  <mergeCells count="33">
    <mergeCell ref="I56:K56"/>
    <mergeCell ref="I57:I73"/>
    <mergeCell ref="J57:K57"/>
    <mergeCell ref="W35:W38"/>
    <mergeCell ref="X35:Y35"/>
    <mergeCell ref="I36:I52"/>
    <mergeCell ref="J36:K36"/>
    <mergeCell ref="L37:L42"/>
    <mergeCell ref="R10:T10"/>
    <mergeCell ref="I35:K35"/>
    <mergeCell ref="N35:N38"/>
    <mergeCell ref="O35:P35"/>
    <mergeCell ref="R35:R38"/>
    <mergeCell ref="S35:U35"/>
    <mergeCell ref="I10:I13"/>
    <mergeCell ref="J10:K10"/>
    <mergeCell ref="M10:M13"/>
    <mergeCell ref="N10:O10"/>
    <mergeCell ref="Q10:Q13"/>
    <mergeCell ref="N24:Q24"/>
    <mergeCell ref="S24:S27"/>
    <mergeCell ref="T24:U24"/>
    <mergeCell ref="I17:I20"/>
    <mergeCell ref="J17:K17"/>
    <mergeCell ref="M17:M20"/>
    <mergeCell ref="N17:O17"/>
    <mergeCell ref="Q17:Q20"/>
    <mergeCell ref="R17:V17"/>
    <mergeCell ref="I29:I32"/>
    <mergeCell ref="J29:L29"/>
    <mergeCell ref="I24:I27"/>
    <mergeCell ref="J24:K24"/>
    <mergeCell ref="M24:M27"/>
  </mergeCells>
  <pageMargins left="0.7" right="0.7" top="0.75" bottom="0.75" header="0.3" footer="0.3"/>
  <pageSetup paperSize="9" orientation="portrait" r:id="rId1"/>
  <ignoredErrors>
    <ignoredError sqref="J6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45"/>
  <sheetViews>
    <sheetView tabSelected="1" view="pageBreakPreview" topLeftCell="A23" zoomScale="85" zoomScaleNormal="70" zoomScaleSheetLayoutView="85" workbookViewId="0">
      <selection activeCell="E33" sqref="E33:E35"/>
    </sheetView>
  </sheetViews>
  <sheetFormatPr defaultRowHeight="15" outlineLevelCol="1" x14ac:dyDescent="0.25"/>
  <cols>
    <col min="1" max="1" width="12" style="58" customWidth="1"/>
    <col min="2" max="2" width="69.7109375" style="56" customWidth="1"/>
    <col min="3" max="3" width="9.140625" style="57"/>
    <col min="4" max="4" width="15.7109375" style="57" customWidth="1"/>
    <col min="5" max="5" width="63.140625" style="57" customWidth="1" outlineLevel="1"/>
    <col min="6" max="6" width="9.140625" style="56"/>
    <col min="7" max="7" width="9.140625" style="164"/>
    <col min="8" max="16384" width="9.140625" style="56"/>
  </cols>
  <sheetData>
    <row r="3" spans="1:7" ht="18.75" x14ac:dyDescent="0.25">
      <c r="A3" s="113" t="s">
        <v>142</v>
      </c>
      <c r="B3" s="114"/>
      <c r="C3" s="114"/>
      <c r="D3" s="114"/>
      <c r="E3" s="114"/>
    </row>
    <row r="4" spans="1:7" ht="15.75" thickBot="1" x14ac:dyDescent="0.3">
      <c r="A4" s="80"/>
      <c r="B4" s="80"/>
      <c r="C4" s="80"/>
      <c r="D4" s="80"/>
      <c r="E4" s="80"/>
    </row>
    <row r="5" spans="1:7" ht="30" customHeight="1" thickBot="1" x14ac:dyDescent="0.3">
      <c r="A5" s="81" t="s">
        <v>135</v>
      </c>
      <c r="B5" s="72" t="s">
        <v>134</v>
      </c>
      <c r="C5" s="72" t="s">
        <v>103</v>
      </c>
      <c r="D5" s="72" t="s">
        <v>104</v>
      </c>
      <c r="E5" s="79" t="s">
        <v>105</v>
      </c>
    </row>
    <row r="6" spans="1:7" s="66" customFormat="1" ht="24.95" customHeight="1" x14ac:dyDescent="0.25">
      <c r="A6" s="118">
        <v>1</v>
      </c>
      <c r="B6" s="67" t="s">
        <v>106</v>
      </c>
      <c r="C6" s="111" t="s">
        <v>138</v>
      </c>
      <c r="D6" s="120">
        <v>1025.8</v>
      </c>
      <c r="E6" s="104" t="s">
        <v>129</v>
      </c>
      <c r="G6" s="165"/>
    </row>
    <row r="7" spans="1:7" s="66" customFormat="1" ht="24.95" customHeight="1" thickBot="1" x14ac:dyDescent="0.3">
      <c r="A7" s="119"/>
      <c r="B7" s="68" t="s">
        <v>107</v>
      </c>
      <c r="C7" s="112"/>
      <c r="D7" s="121"/>
      <c r="E7" s="105"/>
      <c r="G7" s="165"/>
    </row>
    <row r="8" spans="1:7" s="61" customFormat="1" ht="24.95" customHeight="1" x14ac:dyDescent="0.25">
      <c r="A8" s="123">
        <v>2</v>
      </c>
      <c r="B8" s="62" t="s">
        <v>108</v>
      </c>
      <c r="C8" s="111" t="s">
        <v>138</v>
      </c>
      <c r="D8" s="122">
        <v>2459.5</v>
      </c>
      <c r="E8" s="136" t="s">
        <v>132</v>
      </c>
      <c r="G8" s="166"/>
    </row>
    <row r="9" spans="1:7" s="61" customFormat="1" ht="24.95" customHeight="1" thickBot="1" x14ac:dyDescent="0.3">
      <c r="A9" s="123"/>
      <c r="B9" s="62" t="s">
        <v>107</v>
      </c>
      <c r="C9" s="112"/>
      <c r="D9" s="122"/>
      <c r="E9" s="136"/>
      <c r="G9" s="166"/>
    </row>
    <row r="10" spans="1:7" s="61" customFormat="1" ht="30" customHeight="1" x14ac:dyDescent="0.25">
      <c r="A10" s="126">
        <v>3</v>
      </c>
      <c r="B10" s="63" t="s">
        <v>109</v>
      </c>
      <c r="C10" s="111" t="s">
        <v>138</v>
      </c>
      <c r="D10" s="124">
        <v>461.8</v>
      </c>
      <c r="E10" s="104" t="s">
        <v>131</v>
      </c>
      <c r="G10" s="166"/>
    </row>
    <row r="11" spans="1:7" s="61" customFormat="1" ht="30" customHeight="1" thickBot="1" x14ac:dyDescent="0.3">
      <c r="A11" s="127"/>
      <c r="B11" s="64" t="s">
        <v>107</v>
      </c>
      <c r="C11" s="112"/>
      <c r="D11" s="125"/>
      <c r="E11" s="105"/>
      <c r="G11" s="166"/>
    </row>
    <row r="12" spans="1:7" s="61" customFormat="1" ht="24.95" customHeight="1" x14ac:dyDescent="0.25">
      <c r="A12" s="126">
        <v>4</v>
      </c>
      <c r="B12" s="63" t="s">
        <v>110</v>
      </c>
      <c r="C12" s="108" t="s">
        <v>140</v>
      </c>
      <c r="D12" s="141">
        <v>144.80000000000001</v>
      </c>
      <c r="E12" s="104">
        <v>183</v>
      </c>
      <c r="G12" s="166"/>
    </row>
    <row r="13" spans="1:7" s="61" customFormat="1" ht="24.95" customHeight="1" thickBot="1" x14ac:dyDescent="0.3">
      <c r="A13" s="127"/>
      <c r="B13" s="64" t="s">
        <v>107</v>
      </c>
      <c r="C13" s="110"/>
      <c r="D13" s="142"/>
      <c r="E13" s="105"/>
      <c r="G13" s="166"/>
    </row>
    <row r="14" spans="1:7" s="61" customFormat="1" ht="24.95" customHeight="1" x14ac:dyDescent="0.25">
      <c r="A14" s="126">
        <v>5</v>
      </c>
      <c r="B14" s="63" t="s">
        <v>112</v>
      </c>
      <c r="C14" s="108" t="s">
        <v>140</v>
      </c>
      <c r="D14" s="124">
        <v>52.4</v>
      </c>
      <c r="E14" s="143" t="s">
        <v>111</v>
      </c>
      <c r="G14" s="166"/>
    </row>
    <row r="15" spans="1:7" s="61" customFormat="1" ht="24.95" customHeight="1" thickBot="1" x14ac:dyDescent="0.3">
      <c r="A15" s="144"/>
      <c r="B15" s="65" t="s">
        <v>107</v>
      </c>
      <c r="C15" s="109"/>
      <c r="D15" s="145"/>
      <c r="E15" s="143"/>
      <c r="G15" s="166"/>
    </row>
    <row r="16" spans="1:7" s="61" customFormat="1" ht="24.95" customHeight="1" x14ac:dyDescent="0.25">
      <c r="A16" s="128">
        <v>7</v>
      </c>
      <c r="B16" s="138" t="s">
        <v>136</v>
      </c>
      <c r="C16" s="108" t="s">
        <v>140</v>
      </c>
      <c r="D16" s="133">
        <f>133.4+283.1</f>
        <v>416.5</v>
      </c>
      <c r="E16" s="77" t="s">
        <v>113</v>
      </c>
      <c r="G16" s="166"/>
    </row>
    <row r="17" spans="1:7" s="61" customFormat="1" ht="24.95" customHeight="1" x14ac:dyDescent="0.25">
      <c r="A17" s="129"/>
      <c r="B17" s="139"/>
      <c r="C17" s="109"/>
      <c r="D17" s="137"/>
      <c r="E17" s="78" t="s">
        <v>128</v>
      </c>
      <c r="G17" s="166"/>
    </row>
    <row r="18" spans="1:7" s="61" customFormat="1" ht="24.95" customHeight="1" x14ac:dyDescent="0.25">
      <c r="A18" s="130"/>
      <c r="B18" s="139"/>
      <c r="C18" s="109"/>
      <c r="D18" s="137"/>
      <c r="E18" s="78" t="s">
        <v>114</v>
      </c>
      <c r="G18" s="166"/>
    </row>
    <row r="19" spans="1:7" s="61" customFormat="1" ht="93.75" customHeight="1" thickBot="1" x14ac:dyDescent="0.3">
      <c r="A19" s="69">
        <v>16</v>
      </c>
      <c r="B19" s="139"/>
      <c r="C19" s="109"/>
      <c r="D19" s="137"/>
      <c r="E19" s="93" t="s">
        <v>133</v>
      </c>
      <c r="F19" s="88"/>
      <c r="G19" s="166"/>
    </row>
    <row r="20" spans="1:7" s="61" customFormat="1" ht="68.25" customHeight="1" thickBot="1" x14ac:dyDescent="0.3">
      <c r="A20" s="59">
        <v>8</v>
      </c>
      <c r="B20" s="60" t="s">
        <v>144</v>
      </c>
      <c r="C20" s="94" t="s">
        <v>140</v>
      </c>
      <c r="D20" s="95">
        <v>142</v>
      </c>
      <c r="E20" s="96" t="s">
        <v>119</v>
      </c>
      <c r="F20" s="163"/>
      <c r="G20" s="166"/>
    </row>
    <row r="21" spans="1:7" s="61" customFormat="1" ht="39.950000000000003" customHeight="1" x14ac:dyDescent="0.25">
      <c r="A21" s="89">
        <v>9</v>
      </c>
      <c r="B21" s="131" t="s">
        <v>143</v>
      </c>
      <c r="C21" s="108" t="s">
        <v>140</v>
      </c>
      <c r="D21" s="133">
        <f>412+25.7</f>
        <v>437.7</v>
      </c>
      <c r="E21" s="90" t="s">
        <v>128</v>
      </c>
      <c r="F21" s="163"/>
      <c r="G21" s="166"/>
    </row>
    <row r="22" spans="1:7" s="61" customFormat="1" ht="39.950000000000003" customHeight="1" thickBot="1" x14ac:dyDescent="0.3">
      <c r="A22" s="91" t="s">
        <v>118</v>
      </c>
      <c r="B22" s="132"/>
      <c r="C22" s="110"/>
      <c r="D22" s="134"/>
      <c r="E22" s="92" t="s">
        <v>128</v>
      </c>
      <c r="F22" s="163"/>
      <c r="G22" s="166"/>
    </row>
    <row r="23" spans="1:7" s="61" customFormat="1" ht="23.1" customHeight="1" x14ac:dyDescent="0.25">
      <c r="A23" s="150">
        <v>10</v>
      </c>
      <c r="B23" s="131" t="s">
        <v>145</v>
      </c>
      <c r="C23" s="108" t="s">
        <v>140</v>
      </c>
      <c r="D23" s="133">
        <f>3309.6+243.7</f>
        <v>3553.2999999999997</v>
      </c>
      <c r="E23" s="168" t="s">
        <v>130</v>
      </c>
      <c r="G23" s="166"/>
    </row>
    <row r="24" spans="1:7" s="61" customFormat="1" ht="23.1" customHeight="1" x14ac:dyDescent="0.25">
      <c r="A24" s="151"/>
      <c r="B24" s="162"/>
      <c r="C24" s="109"/>
      <c r="D24" s="137"/>
      <c r="E24" s="169"/>
      <c r="G24" s="166"/>
    </row>
    <row r="25" spans="1:7" s="61" customFormat="1" ht="20.100000000000001" customHeight="1" x14ac:dyDescent="0.25">
      <c r="A25" s="129">
        <v>19</v>
      </c>
      <c r="B25" s="162"/>
      <c r="C25" s="109"/>
      <c r="D25" s="137"/>
      <c r="E25" s="135" t="s">
        <v>124</v>
      </c>
      <c r="G25" s="166"/>
    </row>
    <row r="26" spans="1:7" s="61" customFormat="1" ht="20.100000000000001" customHeight="1" thickBot="1" x14ac:dyDescent="0.3">
      <c r="A26" s="161"/>
      <c r="B26" s="132"/>
      <c r="C26" s="110"/>
      <c r="D26" s="134"/>
      <c r="E26" s="105"/>
      <c r="G26" s="166"/>
    </row>
    <row r="27" spans="1:7" s="70" customFormat="1" ht="30" customHeight="1" x14ac:dyDescent="0.25">
      <c r="A27" s="130">
        <v>11</v>
      </c>
      <c r="B27" s="82" t="s">
        <v>116</v>
      </c>
      <c r="C27" s="147" t="s">
        <v>138</v>
      </c>
      <c r="D27" s="149">
        <v>594.79999999999995</v>
      </c>
      <c r="E27" s="106" t="s">
        <v>115</v>
      </c>
      <c r="G27" s="167"/>
    </row>
    <row r="28" spans="1:7" s="70" customFormat="1" ht="30" customHeight="1" x14ac:dyDescent="0.25">
      <c r="A28" s="123"/>
      <c r="B28" s="71" t="s">
        <v>107</v>
      </c>
      <c r="C28" s="147"/>
      <c r="D28" s="122"/>
      <c r="E28" s="107"/>
      <c r="G28" s="167"/>
    </row>
    <row r="29" spans="1:7" s="70" customFormat="1" ht="30" customHeight="1" thickBot="1" x14ac:dyDescent="0.3">
      <c r="A29" s="144"/>
      <c r="B29" s="73" t="s">
        <v>117</v>
      </c>
      <c r="C29" s="112"/>
      <c r="D29" s="146"/>
      <c r="E29" s="135"/>
      <c r="G29" s="167"/>
    </row>
    <row r="30" spans="1:7" s="61" customFormat="1" ht="30" customHeight="1" x14ac:dyDescent="0.25">
      <c r="A30" s="126">
        <v>12</v>
      </c>
      <c r="B30" s="63" t="s">
        <v>121</v>
      </c>
      <c r="C30" s="111" t="s">
        <v>138</v>
      </c>
      <c r="D30" s="141">
        <v>4025.3</v>
      </c>
      <c r="E30" s="115" t="s">
        <v>120</v>
      </c>
      <c r="G30" s="166"/>
    </row>
    <row r="31" spans="1:7" s="61" customFormat="1" ht="30" customHeight="1" x14ac:dyDescent="0.25">
      <c r="A31" s="123"/>
      <c r="B31" s="62" t="s">
        <v>107</v>
      </c>
      <c r="C31" s="147"/>
      <c r="D31" s="122"/>
      <c r="E31" s="116"/>
      <c r="G31" s="166"/>
    </row>
    <row r="32" spans="1:7" s="61" customFormat="1" ht="30" customHeight="1" thickBot="1" x14ac:dyDescent="0.3">
      <c r="A32" s="127"/>
      <c r="B32" s="64" t="s">
        <v>117</v>
      </c>
      <c r="C32" s="112"/>
      <c r="D32" s="142"/>
      <c r="E32" s="117"/>
      <c r="G32" s="166"/>
    </row>
    <row r="33" spans="1:7" s="61" customFormat="1" ht="30" customHeight="1" thickBot="1" x14ac:dyDescent="0.3">
      <c r="A33" s="152">
        <v>13</v>
      </c>
      <c r="B33" s="60" t="s">
        <v>122</v>
      </c>
      <c r="C33" s="158" t="s">
        <v>27</v>
      </c>
      <c r="D33" s="155">
        <v>291.3</v>
      </c>
      <c r="E33" s="104">
        <v>265</v>
      </c>
      <c r="G33" s="166"/>
    </row>
    <row r="34" spans="1:7" s="61" customFormat="1" ht="30" customHeight="1" thickBot="1" x14ac:dyDescent="0.3">
      <c r="A34" s="153"/>
      <c r="B34" s="60" t="s">
        <v>107</v>
      </c>
      <c r="C34" s="159"/>
      <c r="D34" s="156"/>
      <c r="E34" s="136"/>
      <c r="G34" s="166"/>
    </row>
    <row r="35" spans="1:7" s="61" customFormat="1" ht="30" customHeight="1" thickBot="1" x14ac:dyDescent="0.3">
      <c r="A35" s="154"/>
      <c r="B35" s="60" t="s">
        <v>117</v>
      </c>
      <c r="C35" s="160"/>
      <c r="D35" s="157"/>
      <c r="E35" s="105"/>
      <c r="G35" s="166"/>
    </row>
    <row r="36" spans="1:7" s="61" customFormat="1" ht="24.95" customHeight="1" x14ac:dyDescent="0.25">
      <c r="A36" s="126">
        <v>17</v>
      </c>
      <c r="B36" s="63" t="s">
        <v>123</v>
      </c>
      <c r="C36" s="108" t="s">
        <v>140</v>
      </c>
      <c r="D36" s="141">
        <v>253.3</v>
      </c>
      <c r="E36" s="106">
        <v>245</v>
      </c>
      <c r="G36" s="166"/>
    </row>
    <row r="37" spans="1:7" s="61" customFormat="1" ht="24.95" customHeight="1" x14ac:dyDescent="0.25">
      <c r="A37" s="123"/>
      <c r="B37" s="62" t="s">
        <v>107</v>
      </c>
      <c r="C37" s="109"/>
      <c r="D37" s="122"/>
      <c r="E37" s="107"/>
      <c r="G37" s="166"/>
    </row>
    <row r="38" spans="1:7" s="61" customFormat="1" ht="24.95" customHeight="1" thickBot="1" x14ac:dyDescent="0.3">
      <c r="A38" s="144"/>
      <c r="B38" s="65" t="s">
        <v>117</v>
      </c>
      <c r="C38" s="110"/>
      <c r="D38" s="146"/>
      <c r="E38" s="148"/>
      <c r="G38" s="166"/>
    </row>
    <row r="39" spans="1:7" s="61" customFormat="1" ht="30" customHeight="1" x14ac:dyDescent="0.25">
      <c r="A39" s="126">
        <v>20</v>
      </c>
      <c r="B39" s="63" t="s">
        <v>126</v>
      </c>
      <c r="C39" s="111" t="s">
        <v>138</v>
      </c>
      <c r="D39" s="124">
        <v>285</v>
      </c>
      <c r="E39" s="104" t="s">
        <v>125</v>
      </c>
      <c r="G39" s="166"/>
    </row>
    <row r="40" spans="1:7" s="61" customFormat="1" ht="30" customHeight="1" x14ac:dyDescent="0.25">
      <c r="A40" s="123"/>
      <c r="B40" s="76" t="s">
        <v>127</v>
      </c>
      <c r="C40" s="147"/>
      <c r="D40" s="140"/>
      <c r="E40" s="136"/>
      <c r="G40" s="166"/>
    </row>
    <row r="41" spans="1:7" s="61" customFormat="1" ht="30" customHeight="1" thickBot="1" x14ac:dyDescent="0.3">
      <c r="A41" s="127"/>
      <c r="B41" s="64" t="s">
        <v>141</v>
      </c>
      <c r="C41" s="112"/>
      <c r="D41" s="125"/>
      <c r="E41" s="105"/>
      <c r="G41" s="166"/>
    </row>
    <row r="42" spans="1:7" s="61" customFormat="1" ht="30" customHeight="1" thickBot="1" x14ac:dyDescent="0.3">
      <c r="A42" s="83"/>
      <c r="B42" s="84" t="s">
        <v>137</v>
      </c>
      <c r="C42" s="87" t="s">
        <v>139</v>
      </c>
      <c r="D42" s="86">
        <f>SUM(D6:D41)</f>
        <v>14143.499999999996</v>
      </c>
      <c r="E42" s="85"/>
      <c r="G42" s="166"/>
    </row>
    <row r="43" spans="1:7" s="61" customFormat="1" x14ac:dyDescent="0.25">
      <c r="A43" s="75"/>
      <c r="C43" s="74"/>
      <c r="D43" s="74"/>
      <c r="E43" s="74"/>
      <c r="G43" s="166"/>
    </row>
    <row r="44" spans="1:7" s="61" customFormat="1" x14ac:dyDescent="0.25">
      <c r="A44" s="75"/>
      <c r="B44" s="88">
        <f>D6+D8+D10+D12+D14+D16+D23+D27+D30+D33+D36</f>
        <v>13278.8</v>
      </c>
      <c r="C44" s="74"/>
      <c r="D44" s="74"/>
      <c r="E44" s="74"/>
      <c r="G44" s="166"/>
    </row>
    <row r="45" spans="1:7" x14ac:dyDescent="0.25">
      <c r="B45" s="97">
        <f>D23+D27+D30+D33+D36</f>
        <v>8717.9999999999982</v>
      </c>
    </row>
  </sheetData>
  <autoFilter ref="B3:B44" xr:uid="{00000000-0009-0000-0000-000006000000}"/>
  <mergeCells count="56">
    <mergeCell ref="E33:E35"/>
    <mergeCell ref="D33:D35"/>
    <mergeCell ref="C33:C35"/>
    <mergeCell ref="A25:A26"/>
    <mergeCell ref="B23:B26"/>
    <mergeCell ref="E23:E24"/>
    <mergeCell ref="E25:E26"/>
    <mergeCell ref="F20:F22"/>
    <mergeCell ref="A39:A41"/>
    <mergeCell ref="A30:A32"/>
    <mergeCell ref="D30:D32"/>
    <mergeCell ref="D36:D38"/>
    <mergeCell ref="A36:A38"/>
    <mergeCell ref="C30:C32"/>
    <mergeCell ref="C39:C41"/>
    <mergeCell ref="C36:C38"/>
    <mergeCell ref="E36:E38"/>
    <mergeCell ref="E39:E41"/>
    <mergeCell ref="D27:D29"/>
    <mergeCell ref="A23:A24"/>
    <mergeCell ref="A27:A29"/>
    <mergeCell ref="C27:C29"/>
    <mergeCell ref="A33:A35"/>
    <mergeCell ref="B16:B19"/>
    <mergeCell ref="D39:D41"/>
    <mergeCell ref="C23:C26"/>
    <mergeCell ref="D23:D26"/>
    <mergeCell ref="A12:A13"/>
    <mergeCell ref="D12:D13"/>
    <mergeCell ref="A14:A15"/>
    <mergeCell ref="D14:D15"/>
    <mergeCell ref="A3:E3"/>
    <mergeCell ref="E12:E13"/>
    <mergeCell ref="E30:E32"/>
    <mergeCell ref="A6:A7"/>
    <mergeCell ref="D6:D7"/>
    <mergeCell ref="D8:D9"/>
    <mergeCell ref="A8:A9"/>
    <mergeCell ref="D10:D11"/>
    <mergeCell ref="A10:A11"/>
    <mergeCell ref="A16:A18"/>
    <mergeCell ref="B21:B22"/>
    <mergeCell ref="C21:C22"/>
    <mergeCell ref="D21:D22"/>
    <mergeCell ref="E27:E29"/>
    <mergeCell ref="E10:E11"/>
    <mergeCell ref="E8:E9"/>
    <mergeCell ref="E6:E7"/>
    <mergeCell ref="C14:C15"/>
    <mergeCell ref="C12:C13"/>
    <mergeCell ref="C10:C11"/>
    <mergeCell ref="C8:C9"/>
    <mergeCell ref="C6:C7"/>
    <mergeCell ref="C16:C19"/>
    <mergeCell ref="D16:D19"/>
    <mergeCell ref="E14:E15"/>
  </mergeCells>
  <pageMargins left="0.7" right="0.7" top="0.75" bottom="0.75" header="0.3" footer="0.3"/>
  <pageSetup paperSize="9" scale="51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Тех. этаж</vt:lpstr>
      <vt:lpstr>1 этаж</vt:lpstr>
      <vt:lpstr>2 этаж</vt:lpstr>
      <vt:lpstr>3 этаж</vt:lpstr>
      <vt:lpstr>4 этаж</vt:lpstr>
      <vt:lpstr>Черновые</vt:lpstr>
      <vt:lpstr>Черновые!Область_печати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Сидорова Елена Андреевна</dc:creator>
  <cp:lastModifiedBy>Храмова Надежда Валерьевна</cp:lastModifiedBy>
  <dcterms:created xsi:type="dcterms:W3CDTF">2015-06-05T18:19:34Z</dcterms:created>
  <dcterms:modified xsi:type="dcterms:W3CDTF">2026-06-09T03:17:11Z</dcterms:modified>
</cp:coreProperties>
</file>