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4485" windowWidth="20730" windowHeight="11760"/>
  </bookViews>
  <sheets>
    <sheet name="ВОР_Полы" sheetId="3" r:id="rId1"/>
    <sheet name="ВОР_Потолки" sheetId="4" r:id="rId2"/>
    <sheet name="ВОР_Стены" sheetId="5" r:id="rId3"/>
  </sheets>
  <calcPr calcId="145621"/>
</workbook>
</file>

<file path=xl/calcChain.xml><?xml version="1.0" encoding="utf-8"?>
<calcChain xmlns="http://schemas.openxmlformats.org/spreadsheetml/2006/main">
  <c r="D61" i="5" l="1"/>
  <c r="D64" i="5" l="1"/>
  <c r="D70" i="5"/>
  <c r="D69" i="5"/>
  <c r="D68" i="5"/>
  <c r="D63" i="5"/>
  <c r="D62" i="5"/>
  <c r="D67" i="5"/>
  <c r="D33" i="5"/>
  <c r="D31" i="5"/>
  <c r="D30" i="5"/>
  <c r="D29" i="5"/>
  <c r="D27" i="5"/>
  <c r="D26" i="5"/>
  <c r="D23" i="5"/>
  <c r="D24" i="5"/>
  <c r="D21" i="5"/>
  <c r="D20" i="5"/>
  <c r="D9" i="5"/>
  <c r="D14" i="5"/>
  <c r="D13" i="5"/>
  <c r="D12" i="5"/>
  <c r="D17" i="5"/>
  <c r="D16" i="5"/>
  <c r="D18" i="5"/>
  <c r="D201" i="3"/>
  <c r="D199" i="3"/>
  <c r="D35" i="3"/>
  <c r="D33" i="3"/>
  <c r="D236" i="3"/>
  <c r="D198" i="3"/>
  <c r="D32" i="3"/>
  <c r="D79" i="4" l="1"/>
  <c r="D75" i="4"/>
  <c r="D74" i="4"/>
  <c r="D73" i="4"/>
  <c r="D72" i="4"/>
  <c r="D71" i="4"/>
  <c r="D67" i="4"/>
  <c r="D63" i="4"/>
  <c r="D59" i="4"/>
  <c r="D55" i="4"/>
  <c r="D52" i="4"/>
  <c r="D53" i="4"/>
  <c r="D50" i="4"/>
  <c r="D45" i="4"/>
  <c r="D43" i="4"/>
  <c r="D42" i="4"/>
  <c r="D40" i="4"/>
  <c r="D36" i="4"/>
  <c r="D35" i="4"/>
  <c r="D34" i="4"/>
  <c r="D32" i="4"/>
  <c r="D31" i="4"/>
  <c r="D28" i="4"/>
  <c r="D27" i="4"/>
  <c r="D26" i="4"/>
  <c r="D25" i="4"/>
  <c r="D21" i="4"/>
  <c r="D20" i="4"/>
  <c r="D19" i="4"/>
  <c r="D14" i="4"/>
  <c r="D13" i="4"/>
  <c r="D12" i="4"/>
  <c r="D38" i="3"/>
  <c r="D31" i="3"/>
  <c r="D30" i="3"/>
  <c r="D29" i="3"/>
  <c r="D34" i="3" s="1"/>
  <c r="D54" i="4"/>
  <c r="D51" i="4"/>
  <c r="D49" i="4"/>
  <c r="D44" i="4"/>
  <c r="D41" i="4"/>
  <c r="D33" i="4"/>
  <c r="D273" i="3"/>
  <c r="D256" i="3"/>
  <c r="D251" i="3"/>
  <c r="D246" i="3"/>
  <c r="D241" i="3"/>
  <c r="D205" i="3"/>
  <c r="D39" i="3"/>
  <c r="D44" i="3" s="1"/>
  <c r="D14" i="3"/>
  <c r="D62" i="3" l="1"/>
  <c r="D64" i="3"/>
  <c r="D127" i="3"/>
  <c r="D128" i="3"/>
  <c r="D130" i="3"/>
  <c r="D162" i="3"/>
  <c r="D165" i="3"/>
  <c r="D163" i="3"/>
  <c r="D209" i="3"/>
  <c r="D210" i="3"/>
  <c r="D212" i="3"/>
  <c r="D101" i="3"/>
  <c r="D104" i="3"/>
  <c r="D102" i="3"/>
  <c r="D137" i="3"/>
  <c r="D139" i="3"/>
  <c r="D70" i="3"/>
  <c r="D71" i="3"/>
  <c r="D73" i="3"/>
  <c r="D189" i="3"/>
  <c r="D192" i="3"/>
  <c r="D190" i="3"/>
  <c r="D53" i="3"/>
  <c r="D55" i="3"/>
  <c r="D171" i="3"/>
  <c r="D172" i="3"/>
  <c r="D174" i="3"/>
  <c r="D218" i="3"/>
  <c r="D219" i="3"/>
  <c r="D221" i="3"/>
  <c r="D100" i="3"/>
  <c r="D261" i="3"/>
  <c r="D41" i="3"/>
  <c r="D46" i="3"/>
  <c r="D43" i="3"/>
  <c r="D68" i="3"/>
  <c r="D67" i="3"/>
  <c r="D72" i="3" s="1"/>
  <c r="D51" i="3"/>
  <c r="D52" i="3"/>
  <c r="D134" i="3"/>
  <c r="D136" i="3"/>
  <c r="D69" i="3"/>
  <c r="D59" i="3"/>
  <c r="D61" i="3"/>
  <c r="D98" i="3"/>
  <c r="D103" i="3" s="1"/>
  <c r="D17" i="3"/>
  <c r="D15" i="3"/>
  <c r="D42" i="3"/>
  <c r="D22" i="3"/>
  <c r="D23" i="3"/>
  <c r="D26" i="3"/>
  <c r="D24" i="3"/>
  <c r="D12" i="3"/>
  <c r="D60" i="3"/>
  <c r="D99" i="3"/>
  <c r="D13" i="3"/>
  <c r="D49" i="3"/>
  <c r="D54" i="3" s="1"/>
  <c r="D50" i="3"/>
  <c r="D40" i="3"/>
  <c r="D45" i="3" s="1"/>
  <c r="D58" i="3"/>
  <c r="D63" i="3" s="1"/>
  <c r="D11" i="3"/>
  <c r="D16" i="3" s="1"/>
  <c r="D40" i="5"/>
  <c r="D60" i="5"/>
  <c r="D49" i="5" l="1"/>
  <c r="D46" i="5"/>
  <c r="D45" i="5"/>
  <c r="D44" i="5"/>
  <c r="D43" i="5"/>
  <c r="D48" i="5"/>
  <c r="D47" i="5"/>
  <c r="D42" i="5"/>
  <c r="D41" i="5"/>
  <c r="D52" i="5"/>
  <c r="D161" i="3"/>
  <c r="D170" i="3"/>
  <c r="D188" i="3"/>
  <c r="D197" i="3"/>
  <c r="D217" i="3"/>
  <c r="D39" i="5" l="1"/>
  <c r="D37" i="5"/>
  <c r="D56" i="5"/>
  <c r="D15" i="4" l="1"/>
  <c r="D235" i="3"/>
  <c r="D234" i="3"/>
  <c r="D269" i="3"/>
  <c r="D266" i="3"/>
  <c r="D231" i="3"/>
  <c r="D204" i="3"/>
  <c r="D208" i="3"/>
  <c r="D144" i="3"/>
  <c r="D142" i="3"/>
  <c r="D78" i="3"/>
  <c r="D76" i="3"/>
  <c r="D92" i="3" l="1"/>
  <c r="D93" i="3"/>
  <c r="D95" i="3"/>
  <c r="D183" i="3"/>
  <c r="D181" i="3"/>
  <c r="D83" i="3"/>
  <c r="D86" i="3"/>
  <c r="D84" i="3"/>
  <c r="D152" i="3"/>
  <c r="D150" i="3"/>
  <c r="D117" i="3"/>
  <c r="D115" i="3"/>
  <c r="D148" i="3"/>
  <c r="D149" i="3"/>
  <c r="D224" i="3"/>
  <c r="D226" i="3"/>
  <c r="D112" i="3"/>
  <c r="D114" i="3"/>
  <c r="D179" i="3"/>
  <c r="D180" i="3"/>
  <c r="D82" i="3"/>
  <c r="D81" i="3"/>
  <c r="D80" i="3"/>
  <c r="D85" i="3" s="1"/>
  <c r="D91" i="3"/>
  <c r="D90" i="3"/>
  <c r="D89" i="3"/>
  <c r="D94" i="3" s="1"/>
  <c r="D225" i="3"/>
  <c r="D146" i="3"/>
  <c r="D151" i="3" s="1"/>
  <c r="D147" i="3"/>
  <c r="D111" i="3"/>
  <c r="D116" i="3" s="1"/>
  <c r="D113" i="3"/>
  <c r="D59" i="5"/>
  <c r="D58" i="5"/>
  <c r="D57" i="5"/>
  <c r="D135" i="3"/>
  <c r="D126" i="3"/>
  <c r="D277" i="3"/>
  <c r="D10" i="5" l="1"/>
  <c r="D271" i="3"/>
  <c r="D265" i="3"/>
  <c r="D264" i="3"/>
  <c r="D260" i="3"/>
  <c r="D259" i="3"/>
  <c r="D255" i="3"/>
  <c r="D254" i="3"/>
  <c r="D250" i="3"/>
  <c r="D249" i="3"/>
  <c r="D245" i="3"/>
  <c r="D244" i="3"/>
  <c r="D240" i="3"/>
  <c r="D239" i="3"/>
  <c r="D230" i="3"/>
  <c r="D229" i="3"/>
  <c r="D216" i="3"/>
  <c r="D215" i="3"/>
  <c r="D220" i="3" s="1"/>
  <c r="D207" i="3"/>
  <c r="D206" i="3"/>
  <c r="D211" i="3" s="1"/>
  <c r="D196" i="3"/>
  <c r="D195" i="3"/>
  <c r="D200" i="3" s="1"/>
  <c r="D187" i="3"/>
  <c r="D186" i="3"/>
  <c r="D191" i="3" s="1"/>
  <c r="D178" i="3"/>
  <c r="D177" i="3"/>
  <c r="D182" i="3" s="1"/>
  <c r="D169" i="3"/>
  <c r="D168" i="3"/>
  <c r="D173" i="3" s="1"/>
  <c r="D160" i="3"/>
  <c r="D159" i="3"/>
  <c r="D164" i="3" s="1"/>
  <c r="D157" i="3"/>
  <c r="D155" i="3"/>
  <c r="D133" i="3"/>
  <c r="D138" i="3" s="1"/>
  <c r="D125" i="3"/>
  <c r="D124" i="3"/>
  <c r="D129" i="3" s="1"/>
  <c r="D122" i="3"/>
  <c r="D120" i="3"/>
  <c r="D109" i="3"/>
  <c r="D107" i="3"/>
  <c r="D21" i="3"/>
  <c r="D20" i="3"/>
  <c r="D25" i="3" s="1"/>
  <c r="D66" i="5"/>
  <c r="D54" i="5"/>
  <c r="D35" i="5"/>
  <c r="D51" i="5" l="1"/>
</calcChain>
</file>

<file path=xl/sharedStrings.xml><?xml version="1.0" encoding="utf-8"?>
<sst xmlns="http://schemas.openxmlformats.org/spreadsheetml/2006/main" count="852" uniqueCount="208">
  <si>
    <t>м2</t>
  </si>
  <si>
    <t>Устройство покрытий из плит керамогранитных размером: 60х60 см</t>
  </si>
  <si>
    <t>Нанесение водно-дисперсионной грунтовки на поверхности: пористые (камень, кирпич, бетон и т.д.)</t>
  </si>
  <si>
    <t>Облицовка ступеней керамогранитными плитками</t>
  </si>
  <si>
    <t>Устройство покрытий из плит керамогранитных размером: 40х40 см</t>
  </si>
  <si>
    <t>Грунтование стяжки</t>
  </si>
  <si>
    <t>Гидроизоляция поверхности бетонных и железобетонных конструкций в два слоя защитными эластичными покрытиями на цементной основе: горизонтальной</t>
  </si>
  <si>
    <t>Тип 5.1</t>
  </si>
  <si>
    <t>м3</t>
  </si>
  <si>
    <t>Грунтовка акрилатная водно-дисперсионная для защиты бетонных, кирпичных поверхностей, для внутренних и наружных работ, массовая доля нелетучих веществ 5-12 %, плотность 1,0 г/см3, расход 0,1-0,2 кг/м2</t>
  </si>
  <si>
    <t>л</t>
  </si>
  <si>
    <t>Тип 5.2</t>
  </si>
  <si>
    <t>Состав двухкомпонентный гидроизоляционный на полимерцементной основе для защиты поверхности бетонных конструкций от воздействия воды, солей и карбонизации, эксплуатируемых в условиях динамической нагрузки и вибрации, эластичен при температуре -40 °C, F200, W6-W16, крупность заполнителя до 0,63 мм, расход 3,3 кг/м2 при толщине слоя 2 мм</t>
  </si>
  <si>
    <t>кг</t>
  </si>
  <si>
    <t>Тип 5.3</t>
  </si>
  <si>
    <t>Тип 5.4</t>
  </si>
  <si>
    <t>Керамогранит ESTIMA ST 011 300x300х8,мат.</t>
  </si>
  <si>
    <t>Тип 6</t>
  </si>
  <si>
    <t>Тип 7</t>
  </si>
  <si>
    <t>Керамогранит Грани Таганая GRS 02-10 600x600х10, мат.</t>
  </si>
  <si>
    <t>Тип 7.1</t>
  </si>
  <si>
    <t>Тип 8</t>
  </si>
  <si>
    <t>Керамогранит ESTIMA Ceramica CM02 600х600х10, мат.</t>
  </si>
  <si>
    <t>Тип 9</t>
  </si>
  <si>
    <t>Тип 9.1</t>
  </si>
  <si>
    <t>Тип 9.2</t>
  </si>
  <si>
    <t>Тип 10</t>
  </si>
  <si>
    <t>Тип 11</t>
  </si>
  <si>
    <t>Устройство покрытий из плиток поливинилхлоридных: на клее КН-2</t>
  </si>
  <si>
    <t>Виниловая плитка GerflorCREATION SAGA² 0089 Gentlement taupe 500х500х4,6</t>
  </si>
  <si>
    <t>Клей для ПВХ-покрытий Forbo 599</t>
  </si>
  <si>
    <t>Грунтовка Forbo 050, универсальная</t>
  </si>
  <si>
    <t>Тип 12</t>
  </si>
  <si>
    <t>Виниловая плитка FORBO Allera Flex Material 63427fl5 light cement 1000x1000х5,5</t>
  </si>
  <si>
    <t>Тип 12.1</t>
  </si>
  <si>
    <t>Тип 13</t>
  </si>
  <si>
    <t>Ковровая плитка Forbo Tessera Chroma 3616 Eucalyptus 500х500х6,4</t>
  </si>
  <si>
    <t>Тип 14</t>
  </si>
  <si>
    <t>Ковровая плитка Desoma Atlas 04 500х500х6,0</t>
  </si>
  <si>
    <t>Тип 15</t>
  </si>
  <si>
    <t>Ковровая плитка Desoma Atlas 02 500х500х6,0</t>
  </si>
  <si>
    <t>Тип 15.1</t>
  </si>
  <si>
    <t>Тип 16</t>
  </si>
  <si>
    <t>Ковровая плитка Desoma City 06 450,72x910,44 х6,5</t>
  </si>
  <si>
    <t>Тип 17</t>
  </si>
  <si>
    <t>Ковровая плитка Desoma Spring 11 500х500х6,0</t>
  </si>
  <si>
    <t>Тип 18</t>
  </si>
  <si>
    <t>Устройство покрытий: из линолеума насухо со свариванием полотнищ в стыках</t>
  </si>
  <si>
    <t>Тип 1</t>
  </si>
  <si>
    <t>Тип 2.1</t>
  </si>
  <si>
    <t>Тип 2.2</t>
  </si>
  <si>
    <t>Тип 3</t>
  </si>
  <si>
    <t>Тип 3.2</t>
  </si>
  <si>
    <t>Тип 4</t>
  </si>
  <si>
    <t>Тип 5</t>
  </si>
  <si>
    <t>Керамогранит Грани Таганая GT007А 600*600*10, антискользящий</t>
  </si>
  <si>
    <t>Керамогранитная плитка ESTIMA Ceramica CM01 600*600*10, мат</t>
  </si>
  <si>
    <t>Керамогранитная плитка ESTIMA Ceramica CM01 600*300*10, мат</t>
  </si>
  <si>
    <t>Керамогранит ESTIMA Ceramica NL01 600х600х10, мат.</t>
  </si>
  <si>
    <t>Тип 3.1</t>
  </si>
  <si>
    <t>Керамогранит ESTIMA Ceramica NP01 405x405х8, мат.</t>
  </si>
  <si>
    <t>Керамогранит ESTIMA ST 011 300x300х8</t>
  </si>
  <si>
    <t>м</t>
  </si>
  <si>
    <t>Устройство плинтусов поливинилхлоридных: на винтах самонарезающих</t>
  </si>
  <si>
    <t>Тип ПТ1</t>
  </si>
  <si>
    <t>Покрытие поверхностей грунтовкой глубокого проникновения: за 1 раз потолков</t>
  </si>
  <si>
    <t>Окраска водно-дисперсионными акриловыми составами улучшенная: по штукатурке потолков</t>
  </si>
  <si>
    <t>Тип ПТ2</t>
  </si>
  <si>
    <t>Покраска потолка по основанию, краска силикатная глубокоматовая RAL 7016 (черный) (НГ) Основит Техно CSt993 СМ2</t>
  </si>
  <si>
    <t>Грунт укрывающий Основит Техно Техноконт LP58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</si>
  <si>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</si>
  <si>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Тип ПТ3</t>
  </si>
  <si>
    <t>Окраска потолка по основанию и коммуникаций (Г1, В1, Д2, Т2, РП1), краска ДК 112 лубокоматовая RAL 7016 (черный)</t>
  </si>
  <si>
    <t>Тип ПТ4</t>
  </si>
  <si>
    <t>Подвесной потолок Грильято RAL 7016 размер 100х100 мм</t>
  </si>
  <si>
    <t>Установка подвесного решетчатого (растрового) потолка</t>
  </si>
  <si>
    <t>Подвесной потолок Грильято с комплектующими 100х100 ммм (RAL черный)</t>
  </si>
  <si>
    <t>Тип ПТ5</t>
  </si>
  <si>
    <t>Тип ПТ6</t>
  </si>
  <si>
    <t>Устройство напыляемого покрытия на основе целлюлозы 15 мм (RAL черный)</t>
  </si>
  <si>
    <t>Тип ПТ7</t>
  </si>
  <si>
    <t>Подшивка лестниц СМЛ листами 2440х1220мм RAL 9003 (НГ)</t>
  </si>
  <si>
    <t>Установка подвесного потолка из СМЛ листов</t>
  </si>
  <si>
    <t>Панели негорючие антивандальные: с акриловым покрытием на основе СМЛ, размером 2440х1220х10 мм</t>
  </si>
  <si>
    <t>Тип ПТ8</t>
  </si>
  <si>
    <t>Плиты потолочные Ecophon Advantage 600х600мм</t>
  </si>
  <si>
    <t>Устройство потолков: плитно-ячеистых по каркасу из оцинкованного профиля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</si>
  <si>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</si>
  <si>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Тип ПТ9</t>
  </si>
  <si>
    <t>Подвесные аккустические острова Ecophon 1192х1192х40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</si>
  <si>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</si>
  <si>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Тип ПТ10</t>
  </si>
  <si>
    <t>Натяжной потолок, белый, матовый</t>
  </si>
  <si>
    <t>Устройство натяжных потолков из поливинилхлоридной пленки (ПВХ) гарпунным способом в помещениях площадью: от 10 до 50 м2</t>
  </si>
  <si>
    <t>Профиль фиксирующий (багет) стеновой невидимый для натяжного потолка</t>
  </si>
  <si>
    <t>Вставка L и T-образная декоративная стеновая для натяжного потолка</t>
  </si>
  <si>
    <t>Полотно натяжного потолка, цвет белый, лаковый, с бортиком из ПВХ (гарпун)</t>
  </si>
  <si>
    <t>Дюбели распорные полипропиленовые</t>
  </si>
  <si>
    <t>шт</t>
  </si>
  <si>
    <t>Шурупы самонарезающие стальные фосфатированные с потайной головкой и крестообразным шлицем, остроконечные, диаметр 3,8 мм, длина 32 мм</t>
  </si>
  <si>
    <t>Тип ПТ11</t>
  </si>
  <si>
    <t>Декоративная металлическая панель RAL 4008 фиолетовый 20х20 мм</t>
  </si>
  <si>
    <t>Монтаж потолков подвесных: комбинированных стальных с облицовкой алюминиевыми листами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</si>
  <si>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8-10 мм</t>
  </si>
  <si>
    <t>Покрытие поверхностей грунтовкой глубокого проникновения: за 1 раз стен</t>
  </si>
  <si>
    <t>Простая штукатурка стен 10 мм</t>
  </si>
  <si>
    <t>Улучшенная штукатурка стен 18 мм</t>
  </si>
  <si>
    <t>Сплошное выравнивание стен гипсовыми смесями 10 мм</t>
  </si>
  <si>
    <t>Сплошное выравнивание стен по стеклосетке 10 мм</t>
  </si>
  <si>
    <t>Стеклохолст на клею</t>
  </si>
  <si>
    <t>Шпатлевка стен</t>
  </si>
  <si>
    <t>Гидроизоляция стен</t>
  </si>
  <si>
    <t>Облицовка стен СМЛ</t>
  </si>
  <si>
    <t>СМЛ НГ с акриловым покрытием</t>
  </si>
  <si>
    <t>СМЛ с фотопечатью НГ с акриловым покрытием</t>
  </si>
  <si>
    <t>Облицовка стен керамогранитом</t>
  </si>
  <si>
    <t>Облицовка ступеней</t>
  </si>
  <si>
    <t>Облицовка стен виниловой плиткой</t>
  </si>
  <si>
    <t>Облицовка стен керамической плиткой</t>
  </si>
  <si>
    <t>Керамогранит ESTIMA Ceramica AT02 600х600х10, мат.</t>
  </si>
  <si>
    <t>Электростатическое покрытие Tarkett ACCZENT MINERAL AS GRIT 1</t>
  </si>
  <si>
    <t>Керамогранит ESTIMA Ceramica LF01 600х600х10, мат.</t>
  </si>
  <si>
    <t>Керамогранит ESTIMA Ceramica СА00 ступени 1200х300х10, мат.</t>
  </si>
  <si>
    <t>Керамогранит ESTIMA Ceramica СА00 600х600х10, мат.</t>
  </si>
  <si>
    <t>Керамогранит ESTIMA ST 011 300x300х8, мат.</t>
  </si>
  <si>
    <t>Покраска потолка (Г1, В1, Д2, Т2, РП1), краска ДК 112 (Декоратор)</t>
  </si>
  <si>
    <t>Окраска водно-дисперсионными акриловыми составами улучшенная: по штукатурке потолков, ДК 112 (Декоратор) RAL 7016 (черный)</t>
  </si>
  <si>
    <t>Наименование работы</t>
  </si>
  <si>
    <t>Ед. измерения</t>
  </si>
  <si>
    <t>Объем</t>
  </si>
  <si>
    <t>Примечение</t>
  </si>
  <si>
    <t>Аккустические "островки" Экофон Соло PE Прямоугольник 
-Ecophon 11192х2392х40
-Ecophon 594х594х40
-Ecophon Ø 800x40</t>
  </si>
  <si>
    <t xml:space="preserve">Плинтус  ПВХ </t>
  </si>
  <si>
    <t>Устройство плинтусов: из плиток керамогранитных </t>
  </si>
  <si>
    <t>взять расход из расценок</t>
  </si>
  <si>
    <t>Клей плиточный</t>
  </si>
  <si>
    <t>расход 7,5 кг/м2</t>
  </si>
  <si>
    <t>расход 4,4 кг/м2</t>
  </si>
  <si>
    <t>расход 11,8 кг/м2</t>
  </si>
  <si>
    <t>Плинтусы</t>
  </si>
  <si>
    <t>Окраска стен, Краска ДК 112 Декоратор матовая моющаяся База В (цвет Soframap)</t>
  </si>
  <si>
    <t>Окраска стен, Краска ДК 112 Декоратор матовая моющаяся База А (цвет Soframap) </t>
  </si>
  <si>
    <t>Керамогранит на клею ESTIMA Ceramica CM00 1200х600х10, мат. Подступенки</t>
  </si>
  <si>
    <t>Керамогранит на клею Грани Таганая GRS 02-10 600x600х10, мат.</t>
  </si>
  <si>
    <t>Керамогранит на клею Грани Таганая GT 202 600x600х10, мат</t>
  </si>
  <si>
    <t>Керамогранит на клею ESTIMA Ceramica UN 01 405х405х10, мат.</t>
  </si>
  <si>
    <t>Керамогранит на клею Грани Таганая GRS 11-16 1200x200х10, мат. </t>
  </si>
  <si>
    <t>Тип 2</t>
  </si>
  <si>
    <t>Краска ДК 112 (Декоратор)</t>
  </si>
  <si>
    <t>краска силикатная глубокоматовая RAL 7016 (черный) (НГ) Основит Техно CSt993 СМ2</t>
  </si>
  <si>
    <t>Расход 
0,159 кг на 1 м2 на 1 слой</t>
  </si>
  <si>
    <t>Расход 0,26 кг/м2 на 1  слой</t>
  </si>
  <si>
    <t>Краска ДК 112 (Декоратор) глубокоматовая RAL 7016 (черный)</t>
  </si>
  <si>
    <t>Краска силикатная глубокоматовая Основит Техно CSt993СМ2. RAL 7016 (черный) (НГ)</t>
  </si>
  <si>
    <t>краска ДК 112 (Декоратор) RAL 7016 (черный)</t>
  </si>
  <si>
    <t>ДК 112 (Декоратор) RAL 7016 (черный)</t>
  </si>
  <si>
    <t>Краска ДК 112 Декоратор матовая моющаяся База А</t>
  </si>
  <si>
    <t>Краска ДК 112 Декоратор матовая моющаяся База В</t>
  </si>
  <si>
    <t>расход 4 кг на 1 м2</t>
  </si>
  <si>
    <t>расход 11,2 кг на 1 м2</t>
  </si>
  <si>
    <t>п/п</t>
  </si>
  <si>
    <t>расход клея 4,4 кг на 1м2</t>
  </si>
  <si>
    <t>расход клея 7,5 кг на 1м2</t>
  </si>
  <si>
    <t>расход клея 11,8 кг на 1м2</t>
  </si>
  <si>
    <t>Профиль направляющий ПП 60×27, толщина: 0,6мм , 3000мм , КНАУФ</t>
  </si>
  <si>
    <t>Дюбель-гвоздь 6×40</t>
  </si>
  <si>
    <t>Шуруп LN - 9 </t>
  </si>
  <si>
    <t>Профиль стоечный ПС 28×27, толщина: 0,6мм , 4000мм , КНАУФ</t>
  </si>
  <si>
    <t>Подвес прямой 60×27</t>
  </si>
  <si>
    <t>Лента уплотнительная Knauf Дихтунгсбанд 30 мм x 30 м</t>
  </si>
  <si>
    <t>Шуруп TN 25</t>
  </si>
  <si>
    <t>Внутр.отделка_Полы_6971-ДП v11</t>
  </si>
  <si>
    <t>Внутр.отделка_Потолки_6971-ДП v11</t>
  </si>
  <si>
    <t>Внутр.отделка_Стены_6971-ДП v11</t>
  </si>
  <si>
    <t>расход 0,09 кг/м2</t>
  </si>
  <si>
    <t>Затирка Litokol 125</t>
  </si>
  <si>
    <t>Затирка Litokol 100</t>
  </si>
  <si>
    <t>Затирка Litokol 115</t>
  </si>
  <si>
    <t>Затирка</t>
  </si>
  <si>
    <t>Расшить клеем</t>
  </si>
  <si>
    <t>Затирка Litokol 130</t>
  </si>
  <si>
    <t>Расход 0,04 кг/м2</t>
  </si>
  <si>
    <t>Плинтус керамогранит 8*100*300 ST011 ESTIMA</t>
  </si>
  <si>
    <t>Плинтус керамогранит 10*100*600 CA00 ESTIMA</t>
  </si>
  <si>
    <t>Клипс СВП</t>
  </si>
  <si>
    <t>Клинья СВП</t>
  </si>
  <si>
    <t>Крестики СВП</t>
  </si>
  <si>
    <t>Материал гидроизоляции стен</t>
  </si>
  <si>
    <t>Гипс</t>
  </si>
  <si>
    <t>Раствор М100</t>
  </si>
  <si>
    <t>Сетка проволочная тканая (металлотканая)</t>
  </si>
  <si>
    <t>Грунтовка</t>
  </si>
  <si>
    <t>ДК К15 Декоратор камешковая</t>
  </si>
  <si>
    <t>Декоративная штукатурка стен</t>
  </si>
  <si>
    <t>Раствор штукатурный, известковый, М100</t>
  </si>
  <si>
    <t>Смеси на цементной основе</t>
  </si>
  <si>
    <t>Стеклообои</t>
  </si>
  <si>
    <t>Клей для стеклообоев</t>
  </si>
  <si>
    <t>Шпатлевка</t>
  </si>
  <si>
    <t>Плитка на клею белая, глазурованная Шахтинская премиум 200х300</t>
  </si>
  <si>
    <t>Закупка подрядчиком</t>
  </si>
  <si>
    <t xml:space="preserve">ВЕДОМОСТЬ ОБЪЕМОВ  РАБОТ ПО УСТРОЙСТВУ ВНУТРЕННЕЙ ЧИСТОВОЙ ОТДЕЛКИ СТЕН, ПОТОЛКОВ, ПОЛОВ: </t>
  </si>
  <si>
    <t xml:space="preserve">«Школа 21  на пр. Притомский г. Кемерово" </t>
  </si>
  <si>
    <t>Приложение №1</t>
  </si>
  <si>
    <t>Приложение №2</t>
  </si>
  <si>
    <t>Приложение №3</t>
  </si>
  <si>
    <t>Примечание:</t>
  </si>
  <si>
    <t>Материалы закупаются ООО "СДС-Строй". При необходимости закупка материалов будет производиться субподрядчиком после согласования с коммерческим отделом ООО "СДС-Строй".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</si>
</sst>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2"/>
      <color rgb="FF006100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3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0" xfId="0" applyFont="1" applyFill="1"/>
    <xf numFmtId="0" fontId="0" fillId="0" borderId="0" xfId="0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2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Хороши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tabSelected="1" zoomScaleNormal="100" workbookViewId="0">
      <selection activeCell="F7" sqref="F7"/>
    </sheetView>
  </sheetViews>
  <sheetFormatPr defaultRowHeight="15.75" x14ac:dyDescent="0.25"/>
  <cols>
    <col min="1" max="1" width="13.42578125" style="11" customWidth="1"/>
    <col min="2" max="2" width="67.42578125" style="12" customWidth="1"/>
    <col min="3" max="3" width="11.85546875" style="13" customWidth="1"/>
    <col min="4" max="4" width="10.140625" style="13" customWidth="1"/>
    <col min="5" max="5" width="43.28515625" style="13" customWidth="1"/>
    <col min="6" max="6" width="43.42578125" bestFit="1" customWidth="1"/>
  </cols>
  <sheetData>
    <row r="1" spans="1:5" s="18" customFormat="1" x14ac:dyDescent="0.25">
      <c r="A1" s="11"/>
      <c r="B1" s="12"/>
      <c r="C1" s="13"/>
      <c r="D1" s="13"/>
      <c r="E1" s="49" t="s">
        <v>203</v>
      </c>
    </row>
    <row r="2" spans="1:5" s="18" customFormat="1" x14ac:dyDescent="0.25">
      <c r="A2" s="11"/>
      <c r="B2" s="12"/>
      <c r="C2" s="13"/>
      <c r="D2" s="13"/>
      <c r="E2" s="13"/>
    </row>
    <row r="3" spans="1:5" s="18" customFormat="1" x14ac:dyDescent="0.25">
      <c r="A3" s="11"/>
      <c r="B3" s="12"/>
      <c r="C3" s="13"/>
      <c r="D3" s="13"/>
      <c r="E3" s="13"/>
    </row>
    <row r="4" spans="1:5" s="18" customFormat="1" ht="15.75" customHeight="1" x14ac:dyDescent="0.25">
      <c r="A4" s="48" t="s">
        <v>201</v>
      </c>
      <c r="B4" s="48"/>
      <c r="C4" s="48"/>
      <c r="D4" s="48"/>
      <c r="E4" s="48"/>
    </row>
    <row r="5" spans="1:5" ht="15.75" customHeight="1" x14ac:dyDescent="0.25">
      <c r="A5" s="48" t="s">
        <v>202</v>
      </c>
      <c r="B5" s="48"/>
      <c r="C5" s="48"/>
      <c r="D5" s="48"/>
      <c r="E5" s="48"/>
    </row>
    <row r="6" spans="1:5" x14ac:dyDescent="0.25">
      <c r="A6" s="9"/>
      <c r="B6" s="10"/>
      <c r="C6" s="9"/>
      <c r="D6" s="9"/>
      <c r="E6" s="9"/>
    </row>
    <row r="7" spans="1:5" ht="30" x14ac:dyDescent="0.25">
      <c r="A7" s="19" t="s">
        <v>160</v>
      </c>
      <c r="B7" s="19" t="s">
        <v>127</v>
      </c>
      <c r="C7" s="19" t="s">
        <v>128</v>
      </c>
      <c r="D7" s="19" t="s">
        <v>129</v>
      </c>
      <c r="E7" s="19" t="s">
        <v>130</v>
      </c>
    </row>
    <row r="8" spans="1:5" ht="15" customHeight="1" x14ac:dyDescent="0.25">
      <c r="A8" s="28" t="s">
        <v>171</v>
      </c>
      <c r="B8" s="29"/>
      <c r="C8" s="29"/>
      <c r="D8" s="29"/>
      <c r="E8" s="30"/>
    </row>
    <row r="9" spans="1:5" ht="15" x14ac:dyDescent="0.25">
      <c r="A9" s="28" t="s">
        <v>48</v>
      </c>
      <c r="B9" s="29"/>
      <c r="C9" s="29"/>
      <c r="D9" s="29"/>
      <c r="E9" s="30"/>
    </row>
    <row r="10" spans="1:5" ht="15" x14ac:dyDescent="0.25">
      <c r="A10" s="31">
        <v>1</v>
      </c>
      <c r="B10" s="32" t="s">
        <v>1</v>
      </c>
      <c r="C10" s="31" t="s">
        <v>0</v>
      </c>
      <c r="D10" s="33">
        <v>30.1</v>
      </c>
      <c r="E10" s="31"/>
    </row>
    <row r="11" spans="1:5" ht="15" x14ac:dyDescent="0.25">
      <c r="A11" s="34"/>
      <c r="B11" s="35" t="s">
        <v>55</v>
      </c>
      <c r="C11" s="36" t="s">
        <v>0</v>
      </c>
      <c r="D11" s="36">
        <f>D10*1.02</f>
        <v>30.702000000000002</v>
      </c>
      <c r="E11" s="20"/>
    </row>
    <row r="12" spans="1:5" ht="54.75" customHeight="1" x14ac:dyDescent="0.25">
      <c r="A12" s="34"/>
      <c r="B12" s="35" t="s">
        <v>9</v>
      </c>
      <c r="C12" s="36" t="s">
        <v>10</v>
      </c>
      <c r="D12" s="36">
        <f>D10*0.15</f>
        <v>4.5149999999999997</v>
      </c>
      <c r="E12" s="20"/>
    </row>
    <row r="13" spans="1:5" ht="15" x14ac:dyDescent="0.25">
      <c r="A13" s="34"/>
      <c r="B13" s="35" t="s">
        <v>135</v>
      </c>
      <c r="C13" s="36" t="s">
        <v>13</v>
      </c>
      <c r="D13" s="36">
        <f>D10*7.5</f>
        <v>225.75</v>
      </c>
      <c r="E13" s="36" t="s">
        <v>136</v>
      </c>
    </row>
    <row r="14" spans="1:5" ht="15" x14ac:dyDescent="0.25">
      <c r="A14" s="34"/>
      <c r="B14" s="35" t="s">
        <v>175</v>
      </c>
      <c r="C14" s="36" t="s">
        <v>13</v>
      </c>
      <c r="D14" s="36">
        <f>D10*0.09</f>
        <v>2.7090000000000001</v>
      </c>
      <c r="E14" s="36" t="s">
        <v>174</v>
      </c>
    </row>
    <row r="15" spans="1:5" ht="15" x14ac:dyDescent="0.25">
      <c r="A15" s="34"/>
      <c r="B15" s="35" t="s">
        <v>184</v>
      </c>
      <c r="C15" s="36" t="s">
        <v>98</v>
      </c>
      <c r="D15" s="36">
        <f>CEILING(D10*7,1)</f>
        <v>211</v>
      </c>
      <c r="E15" s="20"/>
    </row>
    <row r="16" spans="1:5" ht="15" x14ac:dyDescent="0.25">
      <c r="A16" s="34"/>
      <c r="B16" s="35" t="s">
        <v>185</v>
      </c>
      <c r="C16" s="36" t="s">
        <v>98</v>
      </c>
      <c r="D16" s="36">
        <f>CEILING(D11*3,1)</f>
        <v>93</v>
      </c>
      <c r="E16" s="20"/>
    </row>
    <row r="17" spans="1:5" ht="15" x14ac:dyDescent="0.25">
      <c r="A17" s="34"/>
      <c r="B17" s="35" t="s">
        <v>186</v>
      </c>
      <c r="C17" s="36" t="s">
        <v>98</v>
      </c>
      <c r="D17" s="36">
        <f>ROUNDUP(D10*15,0)</f>
        <v>452</v>
      </c>
      <c r="E17" s="20"/>
    </row>
    <row r="18" spans="1:5" ht="15" x14ac:dyDescent="0.25">
      <c r="A18" s="37" t="s">
        <v>147</v>
      </c>
      <c r="B18" s="38"/>
      <c r="C18" s="38"/>
      <c r="D18" s="38"/>
      <c r="E18" s="39"/>
    </row>
    <row r="19" spans="1:5" ht="15" x14ac:dyDescent="0.25">
      <c r="A19" s="31">
        <v>2</v>
      </c>
      <c r="B19" s="32" t="s">
        <v>1</v>
      </c>
      <c r="C19" s="31" t="s">
        <v>0</v>
      </c>
      <c r="D19" s="33">
        <v>495.3</v>
      </c>
      <c r="E19" s="31"/>
    </row>
    <row r="20" spans="1:5" ht="15" x14ac:dyDescent="0.25">
      <c r="A20" s="34"/>
      <c r="B20" s="35" t="s">
        <v>56</v>
      </c>
      <c r="C20" s="36" t="s">
        <v>0</v>
      </c>
      <c r="D20" s="36">
        <f>D19*1.02</f>
        <v>505.20600000000002</v>
      </c>
      <c r="E20" s="20"/>
    </row>
    <row r="21" spans="1:5" ht="51.75" customHeight="1" x14ac:dyDescent="0.25">
      <c r="A21" s="34"/>
      <c r="B21" s="35" t="s">
        <v>9</v>
      </c>
      <c r="C21" s="36" t="s">
        <v>10</v>
      </c>
      <c r="D21" s="36">
        <f>D19*0.15</f>
        <v>74.295000000000002</v>
      </c>
      <c r="E21" s="20"/>
    </row>
    <row r="22" spans="1:5" ht="15" x14ac:dyDescent="0.25">
      <c r="A22" s="34"/>
      <c r="B22" s="35" t="s">
        <v>135</v>
      </c>
      <c r="C22" s="36" t="s">
        <v>13</v>
      </c>
      <c r="D22" s="36">
        <f>D19*7.5</f>
        <v>3714.75</v>
      </c>
      <c r="E22" s="36" t="s">
        <v>136</v>
      </c>
    </row>
    <row r="23" spans="1:5" ht="15" x14ac:dyDescent="0.25">
      <c r="A23" s="34"/>
      <c r="B23" s="35" t="s">
        <v>176</v>
      </c>
      <c r="C23" s="36" t="s">
        <v>13</v>
      </c>
      <c r="D23" s="36">
        <f>D19*0.09</f>
        <v>44.576999999999998</v>
      </c>
      <c r="E23" s="36" t="s">
        <v>174</v>
      </c>
    </row>
    <row r="24" spans="1:5" ht="15" x14ac:dyDescent="0.25">
      <c r="A24" s="34"/>
      <c r="B24" s="35" t="s">
        <v>184</v>
      </c>
      <c r="C24" s="36" t="s">
        <v>98</v>
      </c>
      <c r="D24" s="36">
        <f>CEILING(D19*7,1)</f>
        <v>3468</v>
      </c>
      <c r="E24" s="20"/>
    </row>
    <row r="25" spans="1:5" ht="15" x14ac:dyDescent="0.25">
      <c r="A25" s="34"/>
      <c r="B25" s="35" t="s">
        <v>185</v>
      </c>
      <c r="C25" s="36" t="s">
        <v>98</v>
      </c>
      <c r="D25" s="36">
        <f>CEILING(D20*3,1)</f>
        <v>1516</v>
      </c>
      <c r="E25" s="20"/>
    </row>
    <row r="26" spans="1:5" ht="15" x14ac:dyDescent="0.25">
      <c r="A26" s="34"/>
      <c r="B26" s="35" t="s">
        <v>186</v>
      </c>
      <c r="C26" s="36" t="s">
        <v>98</v>
      </c>
      <c r="D26" s="36">
        <f>ROUNDUP(D19*15,0)</f>
        <v>7430</v>
      </c>
      <c r="E26" s="20"/>
    </row>
    <row r="27" spans="1:5" ht="15" x14ac:dyDescent="0.25">
      <c r="A27" s="37" t="s">
        <v>49</v>
      </c>
      <c r="B27" s="38"/>
      <c r="C27" s="38"/>
      <c r="D27" s="38"/>
      <c r="E27" s="39"/>
    </row>
    <row r="28" spans="1:5" ht="15" x14ac:dyDescent="0.25">
      <c r="A28" s="31">
        <v>3</v>
      </c>
      <c r="B28" s="32" t="s">
        <v>1</v>
      </c>
      <c r="C28" s="31" t="s">
        <v>0</v>
      </c>
      <c r="D28" s="33">
        <v>12.4</v>
      </c>
      <c r="E28" s="31"/>
    </row>
    <row r="29" spans="1:5" ht="15" x14ac:dyDescent="0.25">
      <c r="A29" s="34"/>
      <c r="B29" s="35" t="s">
        <v>56</v>
      </c>
      <c r="C29" s="36" t="s">
        <v>0</v>
      </c>
      <c r="D29" s="36">
        <f>D28*1.02</f>
        <v>12.648000000000001</v>
      </c>
      <c r="E29" s="20"/>
    </row>
    <row r="30" spans="1:5" ht="54.75" customHeight="1" x14ac:dyDescent="0.25">
      <c r="A30" s="34"/>
      <c r="B30" s="35" t="s">
        <v>9</v>
      </c>
      <c r="C30" s="36" t="s">
        <v>10</v>
      </c>
      <c r="D30" s="36">
        <f>D28*0.15</f>
        <v>1.8599999999999999</v>
      </c>
      <c r="E30" s="20"/>
    </row>
    <row r="31" spans="1:5" ht="15" x14ac:dyDescent="0.25">
      <c r="A31" s="34"/>
      <c r="B31" s="35" t="s">
        <v>135</v>
      </c>
      <c r="C31" s="36" t="s">
        <v>13</v>
      </c>
      <c r="D31" s="36">
        <f>D28*7.5</f>
        <v>93</v>
      </c>
      <c r="E31" s="36" t="s">
        <v>136</v>
      </c>
    </row>
    <row r="32" spans="1:5" ht="15" x14ac:dyDescent="0.25">
      <c r="A32" s="34"/>
      <c r="B32" s="35" t="s">
        <v>176</v>
      </c>
      <c r="C32" s="36" t="s">
        <v>13</v>
      </c>
      <c r="D32" s="36">
        <f>D28*0.09</f>
        <v>1.1159999999999999</v>
      </c>
      <c r="E32" s="36" t="s">
        <v>174</v>
      </c>
    </row>
    <row r="33" spans="1:5" ht="15" x14ac:dyDescent="0.25">
      <c r="A33" s="34"/>
      <c r="B33" s="35" t="s">
        <v>184</v>
      </c>
      <c r="C33" s="36" t="s">
        <v>98</v>
      </c>
      <c r="D33" s="36">
        <f>CEILING(D28*7,1)</f>
        <v>87</v>
      </c>
      <c r="E33" s="20"/>
    </row>
    <row r="34" spans="1:5" ht="15" x14ac:dyDescent="0.25">
      <c r="A34" s="34"/>
      <c r="B34" s="35" t="s">
        <v>185</v>
      </c>
      <c r="C34" s="36" t="s">
        <v>98</v>
      </c>
      <c r="D34" s="36">
        <f>CEILING(D29*3,1)</f>
        <v>38</v>
      </c>
      <c r="E34" s="20"/>
    </row>
    <row r="35" spans="1:5" ht="15" x14ac:dyDescent="0.25">
      <c r="A35" s="34"/>
      <c r="B35" s="35" t="s">
        <v>186</v>
      </c>
      <c r="C35" s="36" t="s">
        <v>98</v>
      </c>
      <c r="D35" s="36">
        <f>ROUNDUP(D28*15,0)</f>
        <v>186</v>
      </c>
      <c r="E35" s="20"/>
    </row>
    <row r="36" spans="1:5" ht="15" x14ac:dyDescent="0.25">
      <c r="A36" s="37" t="s">
        <v>50</v>
      </c>
      <c r="B36" s="38"/>
      <c r="C36" s="38"/>
      <c r="D36" s="38"/>
      <c r="E36" s="39"/>
    </row>
    <row r="37" spans="1:5" ht="30" x14ac:dyDescent="0.25">
      <c r="A37" s="31">
        <v>4</v>
      </c>
      <c r="B37" s="32" t="s">
        <v>2</v>
      </c>
      <c r="C37" s="31" t="s">
        <v>0</v>
      </c>
      <c r="D37" s="33">
        <v>48.2</v>
      </c>
      <c r="E37" s="31"/>
    </row>
    <row r="38" spans="1:5" ht="54.75" customHeight="1" x14ac:dyDescent="0.25">
      <c r="A38" s="34"/>
      <c r="B38" s="35" t="s">
        <v>9</v>
      </c>
      <c r="C38" s="36" t="s">
        <v>10</v>
      </c>
      <c r="D38" s="36">
        <f>D37*0.15</f>
        <v>7.23</v>
      </c>
      <c r="E38" s="20"/>
    </row>
    <row r="39" spans="1:5" ht="15" x14ac:dyDescent="0.25">
      <c r="A39" s="31">
        <v>5</v>
      </c>
      <c r="B39" s="32" t="s">
        <v>3</v>
      </c>
      <c r="C39" s="31" t="s">
        <v>0</v>
      </c>
      <c r="D39" s="33">
        <f>D37</f>
        <v>48.2</v>
      </c>
      <c r="E39" s="31"/>
    </row>
    <row r="40" spans="1:5" ht="15" x14ac:dyDescent="0.25">
      <c r="A40" s="34"/>
      <c r="B40" s="35" t="s">
        <v>57</v>
      </c>
      <c r="C40" s="36" t="s">
        <v>0</v>
      </c>
      <c r="D40" s="36">
        <f>D39*1.02</f>
        <v>49.164000000000001</v>
      </c>
      <c r="E40" s="20"/>
    </row>
    <row r="41" spans="1:5" ht="50.25" customHeight="1" x14ac:dyDescent="0.25">
      <c r="A41" s="34"/>
      <c r="B41" s="35" t="s">
        <v>9</v>
      </c>
      <c r="C41" s="36" t="s">
        <v>10</v>
      </c>
      <c r="D41" s="36">
        <f>D39*0.15</f>
        <v>7.23</v>
      </c>
      <c r="E41" s="20"/>
    </row>
    <row r="42" spans="1:5" ht="15" x14ac:dyDescent="0.25">
      <c r="A42" s="34"/>
      <c r="B42" s="35" t="s">
        <v>135</v>
      </c>
      <c r="C42" s="36" t="s">
        <v>13</v>
      </c>
      <c r="D42" s="36">
        <f>D39*7.5</f>
        <v>361.5</v>
      </c>
      <c r="E42" s="36" t="s">
        <v>136</v>
      </c>
    </row>
    <row r="43" spans="1:5" ht="15" x14ac:dyDescent="0.25">
      <c r="A43" s="34"/>
      <c r="B43" s="35" t="s">
        <v>176</v>
      </c>
      <c r="C43" s="36" t="s">
        <v>13</v>
      </c>
      <c r="D43" s="36">
        <f>D39*0.09</f>
        <v>4.3380000000000001</v>
      </c>
      <c r="E43" s="36" t="s">
        <v>174</v>
      </c>
    </row>
    <row r="44" spans="1:5" ht="15" x14ac:dyDescent="0.25">
      <c r="A44" s="34"/>
      <c r="B44" s="35" t="s">
        <v>184</v>
      </c>
      <c r="C44" s="36" t="s">
        <v>98</v>
      </c>
      <c r="D44" s="36">
        <f>CEILING(D39*15,1)</f>
        <v>723</v>
      </c>
      <c r="E44" s="20"/>
    </row>
    <row r="45" spans="1:5" ht="15" x14ac:dyDescent="0.25">
      <c r="A45" s="34"/>
      <c r="B45" s="35" t="s">
        <v>185</v>
      </c>
      <c r="C45" s="36" t="s">
        <v>98</v>
      </c>
      <c r="D45" s="36">
        <f>CEILING(D40*5,1)</f>
        <v>246</v>
      </c>
      <c r="E45" s="20"/>
    </row>
    <row r="46" spans="1:5" ht="15" x14ac:dyDescent="0.25">
      <c r="A46" s="34"/>
      <c r="B46" s="35" t="s">
        <v>186</v>
      </c>
      <c r="C46" s="36" t="s">
        <v>98</v>
      </c>
      <c r="D46" s="36">
        <f>ROUNDUP(D39*15,0)</f>
        <v>723</v>
      </c>
      <c r="E46" s="20"/>
    </row>
    <row r="47" spans="1:5" ht="15" x14ac:dyDescent="0.25">
      <c r="A47" s="37" t="s">
        <v>51</v>
      </c>
      <c r="B47" s="38"/>
      <c r="C47" s="38"/>
      <c r="D47" s="38"/>
      <c r="E47" s="39"/>
    </row>
    <row r="48" spans="1:5" ht="15" x14ac:dyDescent="0.25">
      <c r="A48" s="31">
        <v>6</v>
      </c>
      <c r="B48" s="32" t="s">
        <v>1</v>
      </c>
      <c r="C48" s="31" t="s">
        <v>0</v>
      </c>
      <c r="D48" s="33">
        <v>368.2</v>
      </c>
      <c r="E48" s="31"/>
    </row>
    <row r="49" spans="1:5" ht="15" x14ac:dyDescent="0.25">
      <c r="A49" s="34"/>
      <c r="B49" s="35" t="s">
        <v>58</v>
      </c>
      <c r="C49" s="36" t="s">
        <v>0</v>
      </c>
      <c r="D49" s="36">
        <f>D48*1.02</f>
        <v>375.56400000000002</v>
      </c>
      <c r="E49" s="20"/>
    </row>
    <row r="50" spans="1:5" ht="57" customHeight="1" x14ac:dyDescent="0.25">
      <c r="A50" s="34"/>
      <c r="B50" s="35" t="s">
        <v>9</v>
      </c>
      <c r="C50" s="36" t="s">
        <v>10</v>
      </c>
      <c r="D50" s="36">
        <f>D48*0.15</f>
        <v>55.23</v>
      </c>
      <c r="E50" s="20"/>
    </row>
    <row r="51" spans="1:5" ht="15" x14ac:dyDescent="0.25">
      <c r="A51" s="40"/>
      <c r="B51" s="35" t="s">
        <v>135</v>
      </c>
      <c r="C51" s="36" t="s">
        <v>13</v>
      </c>
      <c r="D51" s="36">
        <f>D48*7.5</f>
        <v>2761.5</v>
      </c>
      <c r="E51" s="36" t="s">
        <v>136</v>
      </c>
    </row>
    <row r="52" spans="1:5" ht="15" x14ac:dyDescent="0.25">
      <c r="A52" s="34"/>
      <c r="B52" s="35" t="s">
        <v>177</v>
      </c>
      <c r="C52" s="36" t="s">
        <v>13</v>
      </c>
      <c r="D52" s="36">
        <f>D48*0.09</f>
        <v>33.137999999999998</v>
      </c>
      <c r="E52" s="36" t="s">
        <v>174</v>
      </c>
    </row>
    <row r="53" spans="1:5" ht="15" x14ac:dyDescent="0.25">
      <c r="A53" s="34"/>
      <c r="B53" s="35" t="s">
        <v>184</v>
      </c>
      <c r="C53" s="36" t="s">
        <v>98</v>
      </c>
      <c r="D53" s="36">
        <f>CEILING(D48*7,1)</f>
        <v>2578</v>
      </c>
      <c r="E53" s="20"/>
    </row>
    <row r="54" spans="1:5" ht="15" x14ac:dyDescent="0.25">
      <c r="A54" s="34"/>
      <c r="B54" s="35" t="s">
        <v>185</v>
      </c>
      <c r="C54" s="36" t="s">
        <v>98</v>
      </c>
      <c r="D54" s="36">
        <f>CEILING(D49*3,1)</f>
        <v>1127</v>
      </c>
      <c r="E54" s="20"/>
    </row>
    <row r="55" spans="1:5" ht="15" x14ac:dyDescent="0.25">
      <c r="A55" s="34"/>
      <c r="B55" s="35" t="s">
        <v>186</v>
      </c>
      <c r="C55" s="36" t="s">
        <v>98</v>
      </c>
      <c r="D55" s="36">
        <f>ROUNDUP(D48*15,0)</f>
        <v>5523</v>
      </c>
      <c r="E55" s="20"/>
    </row>
    <row r="56" spans="1:5" ht="15" x14ac:dyDescent="0.25">
      <c r="A56" s="37" t="s">
        <v>59</v>
      </c>
      <c r="B56" s="38"/>
      <c r="C56" s="38"/>
      <c r="D56" s="38"/>
      <c r="E56" s="39"/>
    </row>
    <row r="57" spans="1:5" ht="15" x14ac:dyDescent="0.25">
      <c r="A57" s="31">
        <v>7</v>
      </c>
      <c r="B57" s="32" t="s">
        <v>1</v>
      </c>
      <c r="C57" s="31" t="s">
        <v>0</v>
      </c>
      <c r="D57" s="33">
        <v>220.1</v>
      </c>
      <c r="E57" s="31"/>
    </row>
    <row r="58" spans="1:5" ht="15" x14ac:dyDescent="0.25">
      <c r="A58" s="34"/>
      <c r="B58" s="35" t="s">
        <v>58</v>
      </c>
      <c r="C58" s="19" t="s">
        <v>0</v>
      </c>
      <c r="D58" s="36">
        <f>D57*1.02</f>
        <v>224.50200000000001</v>
      </c>
      <c r="E58" s="20"/>
    </row>
    <row r="59" spans="1:5" ht="54.75" customHeight="1" x14ac:dyDescent="0.25">
      <c r="A59" s="34"/>
      <c r="B59" s="35" t="s">
        <v>9</v>
      </c>
      <c r="C59" s="36" t="s">
        <v>10</v>
      </c>
      <c r="D59" s="36">
        <f>D57*0.15</f>
        <v>33.015000000000001</v>
      </c>
      <c r="E59" s="20"/>
    </row>
    <row r="60" spans="1:5" ht="15" x14ac:dyDescent="0.25">
      <c r="A60" s="40"/>
      <c r="B60" s="35" t="s">
        <v>135</v>
      </c>
      <c r="C60" s="36" t="s">
        <v>13</v>
      </c>
      <c r="D60" s="36">
        <f>D57*7.5</f>
        <v>1650.75</v>
      </c>
      <c r="E60" s="36" t="s">
        <v>136</v>
      </c>
    </row>
    <row r="61" spans="1:5" ht="15" x14ac:dyDescent="0.25">
      <c r="A61" s="34"/>
      <c r="B61" s="35" t="s">
        <v>177</v>
      </c>
      <c r="C61" s="36" t="s">
        <v>13</v>
      </c>
      <c r="D61" s="36">
        <f>D57*0.09</f>
        <v>19.808999999999997</v>
      </c>
      <c r="E61" s="36" t="s">
        <v>174</v>
      </c>
    </row>
    <row r="62" spans="1:5" ht="15" x14ac:dyDescent="0.25">
      <c r="A62" s="34"/>
      <c r="B62" s="35" t="s">
        <v>184</v>
      </c>
      <c r="C62" s="36" t="s">
        <v>98</v>
      </c>
      <c r="D62" s="36">
        <f>CEILING(D57*7,1)</f>
        <v>1541</v>
      </c>
      <c r="E62" s="20"/>
    </row>
    <row r="63" spans="1:5" ht="15" x14ac:dyDescent="0.25">
      <c r="A63" s="34"/>
      <c r="B63" s="35" t="s">
        <v>185</v>
      </c>
      <c r="C63" s="36" t="s">
        <v>98</v>
      </c>
      <c r="D63" s="36">
        <f>CEILING(D58*3,1)</f>
        <v>674</v>
      </c>
      <c r="E63" s="20"/>
    </row>
    <row r="64" spans="1:5" ht="15" x14ac:dyDescent="0.25">
      <c r="A64" s="34"/>
      <c r="B64" s="35" t="s">
        <v>186</v>
      </c>
      <c r="C64" s="36" t="s">
        <v>98</v>
      </c>
      <c r="D64" s="36">
        <f>ROUNDUP(D57*15,0)</f>
        <v>3302</v>
      </c>
      <c r="E64" s="20"/>
    </row>
    <row r="65" spans="1:5" ht="15" x14ac:dyDescent="0.25">
      <c r="A65" s="37" t="s">
        <v>52</v>
      </c>
      <c r="B65" s="38"/>
      <c r="C65" s="38"/>
      <c r="D65" s="38"/>
      <c r="E65" s="39"/>
    </row>
    <row r="66" spans="1:5" ht="15" x14ac:dyDescent="0.25">
      <c r="A66" s="31">
        <v>8</v>
      </c>
      <c r="B66" s="32" t="s">
        <v>1</v>
      </c>
      <c r="C66" s="31" t="s">
        <v>0</v>
      </c>
      <c r="D66" s="33">
        <v>44.3</v>
      </c>
      <c r="E66" s="31"/>
    </row>
    <row r="67" spans="1:5" ht="15" x14ac:dyDescent="0.25">
      <c r="A67" s="34"/>
      <c r="B67" s="35" t="s">
        <v>58</v>
      </c>
      <c r="C67" s="19" t="s">
        <v>0</v>
      </c>
      <c r="D67" s="36">
        <f>D66*1.02</f>
        <v>45.186</v>
      </c>
      <c r="E67" s="20"/>
    </row>
    <row r="68" spans="1:5" ht="51" customHeight="1" x14ac:dyDescent="0.25">
      <c r="A68" s="34"/>
      <c r="B68" s="35" t="s">
        <v>9</v>
      </c>
      <c r="C68" s="36" t="s">
        <v>10</v>
      </c>
      <c r="D68" s="36">
        <f>D66*0.15</f>
        <v>6.6449999999999996</v>
      </c>
      <c r="E68" s="20"/>
    </row>
    <row r="69" spans="1:5" ht="15" x14ac:dyDescent="0.25">
      <c r="A69" s="40"/>
      <c r="B69" s="35" t="s">
        <v>135</v>
      </c>
      <c r="C69" s="36" t="s">
        <v>13</v>
      </c>
      <c r="D69" s="36">
        <f>D66*7.5</f>
        <v>332.25</v>
      </c>
      <c r="E69" s="36" t="s">
        <v>136</v>
      </c>
    </row>
    <row r="70" spans="1:5" ht="15" x14ac:dyDescent="0.25">
      <c r="A70" s="34"/>
      <c r="B70" s="35" t="s">
        <v>177</v>
      </c>
      <c r="C70" s="36" t="s">
        <v>13</v>
      </c>
      <c r="D70" s="36">
        <f>D66*0.09</f>
        <v>3.9869999999999997</v>
      </c>
      <c r="E70" s="36" t="s">
        <v>174</v>
      </c>
    </row>
    <row r="71" spans="1:5" ht="15" x14ac:dyDescent="0.25">
      <c r="A71" s="34"/>
      <c r="B71" s="35" t="s">
        <v>184</v>
      </c>
      <c r="C71" s="36" t="s">
        <v>98</v>
      </c>
      <c r="D71" s="36">
        <f>CEILING(D66*7,1)</f>
        <v>311</v>
      </c>
      <c r="E71" s="20"/>
    </row>
    <row r="72" spans="1:5" ht="15" x14ac:dyDescent="0.25">
      <c r="A72" s="34"/>
      <c r="B72" s="35" t="s">
        <v>185</v>
      </c>
      <c r="C72" s="36" t="s">
        <v>98</v>
      </c>
      <c r="D72" s="36">
        <f>CEILING(D67*3,1)</f>
        <v>136</v>
      </c>
      <c r="E72" s="20"/>
    </row>
    <row r="73" spans="1:5" ht="15" x14ac:dyDescent="0.25">
      <c r="A73" s="34"/>
      <c r="B73" s="35" t="s">
        <v>186</v>
      </c>
      <c r="C73" s="36" t="s">
        <v>98</v>
      </c>
      <c r="D73" s="36">
        <f>ROUNDUP(D66*15,0)</f>
        <v>665</v>
      </c>
      <c r="E73" s="20"/>
    </row>
    <row r="74" spans="1:5" ht="15" x14ac:dyDescent="0.25">
      <c r="A74" s="37" t="s">
        <v>53</v>
      </c>
      <c r="B74" s="38"/>
      <c r="C74" s="38"/>
      <c r="D74" s="38"/>
      <c r="E74" s="39"/>
    </row>
    <row r="75" spans="1:5" ht="15" x14ac:dyDescent="0.25">
      <c r="A75" s="31">
        <v>9</v>
      </c>
      <c r="B75" s="32" t="s">
        <v>5</v>
      </c>
      <c r="C75" s="31" t="s">
        <v>0</v>
      </c>
      <c r="D75" s="33">
        <v>310.8</v>
      </c>
      <c r="E75" s="31"/>
    </row>
    <row r="76" spans="1:5" ht="50.25" customHeight="1" x14ac:dyDescent="0.25">
      <c r="A76" s="34"/>
      <c r="B76" s="35" t="s">
        <v>9</v>
      </c>
      <c r="C76" s="36" t="s">
        <v>10</v>
      </c>
      <c r="D76" s="36">
        <f>D75*0.15</f>
        <v>46.62</v>
      </c>
      <c r="E76" s="20"/>
    </row>
    <row r="77" spans="1:5" ht="45" x14ac:dyDescent="0.25">
      <c r="A77" s="31">
        <v>10</v>
      </c>
      <c r="B77" s="32" t="s">
        <v>6</v>
      </c>
      <c r="C77" s="31" t="s">
        <v>0</v>
      </c>
      <c r="D77" s="33">
        <v>310.8</v>
      </c>
      <c r="E77" s="31"/>
    </row>
    <row r="78" spans="1:5" ht="90" x14ac:dyDescent="0.25">
      <c r="A78" s="34"/>
      <c r="B78" s="35" t="s">
        <v>12</v>
      </c>
      <c r="C78" s="36" t="s">
        <v>13</v>
      </c>
      <c r="D78" s="36">
        <f>D77*3.3</f>
        <v>1025.6399999999999</v>
      </c>
      <c r="E78" s="20"/>
    </row>
    <row r="79" spans="1:5" ht="15" x14ac:dyDescent="0.25">
      <c r="A79" s="31">
        <v>11</v>
      </c>
      <c r="B79" s="32" t="s">
        <v>4</v>
      </c>
      <c r="C79" s="31" t="s">
        <v>0</v>
      </c>
      <c r="D79" s="33">
        <v>310.8</v>
      </c>
      <c r="E79" s="31"/>
    </row>
    <row r="80" spans="1:5" ht="15" x14ac:dyDescent="0.25">
      <c r="A80" s="34"/>
      <c r="B80" s="35" t="s">
        <v>60</v>
      </c>
      <c r="C80" s="36" t="s">
        <v>0</v>
      </c>
      <c r="D80" s="36">
        <f>D79*1.02</f>
        <v>317.01600000000002</v>
      </c>
      <c r="E80" s="20"/>
    </row>
    <row r="81" spans="1:5" ht="57" customHeight="1" x14ac:dyDescent="0.25">
      <c r="A81" s="34"/>
      <c r="B81" s="35" t="s">
        <v>9</v>
      </c>
      <c r="C81" s="36" t="s">
        <v>10</v>
      </c>
      <c r="D81" s="36">
        <f>D79*0.15</f>
        <v>46.62</v>
      </c>
      <c r="E81" s="20"/>
    </row>
    <row r="82" spans="1:5" ht="15" x14ac:dyDescent="0.25">
      <c r="A82" s="40"/>
      <c r="B82" s="35" t="s">
        <v>135</v>
      </c>
      <c r="C82" s="36" t="s">
        <v>13</v>
      </c>
      <c r="D82" s="36">
        <f>D79*4.4</f>
        <v>1367.5200000000002</v>
      </c>
      <c r="E82" s="36" t="s">
        <v>137</v>
      </c>
    </row>
    <row r="83" spans="1:5" ht="15" x14ac:dyDescent="0.25">
      <c r="A83" s="34"/>
      <c r="B83" s="35" t="s">
        <v>177</v>
      </c>
      <c r="C83" s="36" t="s">
        <v>13</v>
      </c>
      <c r="D83" s="36">
        <f>D79*0.09</f>
        <v>27.972000000000001</v>
      </c>
      <c r="E83" s="36" t="s">
        <v>174</v>
      </c>
    </row>
    <row r="84" spans="1:5" ht="15" x14ac:dyDescent="0.25">
      <c r="A84" s="34"/>
      <c r="B84" s="35" t="s">
        <v>184</v>
      </c>
      <c r="C84" s="36" t="s">
        <v>98</v>
      </c>
      <c r="D84" s="36">
        <f>CEILING(D79*7,1)</f>
        <v>2176</v>
      </c>
      <c r="E84" s="20"/>
    </row>
    <row r="85" spans="1:5" ht="15" x14ac:dyDescent="0.25">
      <c r="A85" s="34"/>
      <c r="B85" s="35" t="s">
        <v>185</v>
      </c>
      <c r="C85" s="36" t="s">
        <v>98</v>
      </c>
      <c r="D85" s="36">
        <f>CEILING(D80*3,1)</f>
        <v>952</v>
      </c>
      <c r="E85" s="20"/>
    </row>
    <row r="86" spans="1:5" ht="15" x14ac:dyDescent="0.25">
      <c r="A86" s="34"/>
      <c r="B86" s="35" t="s">
        <v>186</v>
      </c>
      <c r="C86" s="36" t="s">
        <v>98</v>
      </c>
      <c r="D86" s="36">
        <f>ROUNDUP(D79*15,0)</f>
        <v>4662</v>
      </c>
      <c r="E86" s="20"/>
    </row>
    <row r="87" spans="1:5" ht="15" x14ac:dyDescent="0.25">
      <c r="A87" s="37" t="s">
        <v>54</v>
      </c>
      <c r="B87" s="38"/>
      <c r="C87" s="38"/>
      <c r="D87" s="38"/>
      <c r="E87" s="39"/>
    </row>
    <row r="88" spans="1:5" ht="15" x14ac:dyDescent="0.25">
      <c r="A88" s="31">
        <v>12</v>
      </c>
      <c r="B88" s="32" t="s">
        <v>4</v>
      </c>
      <c r="C88" s="31" t="s">
        <v>0</v>
      </c>
      <c r="D88" s="33">
        <v>565.5</v>
      </c>
      <c r="E88" s="31"/>
    </row>
    <row r="89" spans="1:5" ht="15" x14ac:dyDescent="0.25">
      <c r="A89" s="34"/>
      <c r="B89" s="35" t="s">
        <v>61</v>
      </c>
      <c r="C89" s="36" t="s">
        <v>0</v>
      </c>
      <c r="D89" s="36">
        <f>D88*1.02</f>
        <v>576.81000000000006</v>
      </c>
      <c r="E89" s="20"/>
    </row>
    <row r="90" spans="1:5" ht="53.25" customHeight="1" x14ac:dyDescent="0.25">
      <c r="A90" s="34"/>
      <c r="B90" s="35" t="s">
        <v>9</v>
      </c>
      <c r="C90" s="36" t="s">
        <v>10</v>
      </c>
      <c r="D90" s="36">
        <f>D88*0.15</f>
        <v>84.825000000000003</v>
      </c>
      <c r="E90" s="20"/>
    </row>
    <row r="91" spans="1:5" ht="15" x14ac:dyDescent="0.25">
      <c r="A91" s="40"/>
      <c r="B91" s="35" t="s">
        <v>135</v>
      </c>
      <c r="C91" s="36" t="s">
        <v>13</v>
      </c>
      <c r="D91" s="36">
        <f>D88*4.4</f>
        <v>2488.2000000000003</v>
      </c>
      <c r="E91" s="36" t="s">
        <v>137</v>
      </c>
    </row>
    <row r="92" spans="1:5" ht="15" x14ac:dyDescent="0.25">
      <c r="A92" s="34"/>
      <c r="B92" s="35" t="s">
        <v>178</v>
      </c>
      <c r="C92" s="36" t="s">
        <v>13</v>
      </c>
      <c r="D92" s="36">
        <f>D88*0.09</f>
        <v>50.894999999999996</v>
      </c>
      <c r="E92" s="36" t="s">
        <v>179</v>
      </c>
    </row>
    <row r="93" spans="1:5" ht="15" x14ac:dyDescent="0.25">
      <c r="A93" s="34"/>
      <c r="B93" s="35" t="s">
        <v>184</v>
      </c>
      <c r="C93" s="36" t="s">
        <v>98</v>
      </c>
      <c r="D93" s="36">
        <f>CEILING(D88*7,1)</f>
        <v>3959</v>
      </c>
      <c r="E93" s="36"/>
    </row>
    <row r="94" spans="1:5" ht="15" x14ac:dyDescent="0.25">
      <c r="A94" s="34"/>
      <c r="B94" s="35" t="s">
        <v>185</v>
      </c>
      <c r="C94" s="36" t="s">
        <v>98</v>
      </c>
      <c r="D94" s="36">
        <f>CEILING(D89*3,1)</f>
        <v>1731</v>
      </c>
      <c r="E94" s="36"/>
    </row>
    <row r="95" spans="1:5" ht="15" x14ac:dyDescent="0.25">
      <c r="A95" s="34"/>
      <c r="B95" s="35" t="s">
        <v>186</v>
      </c>
      <c r="C95" s="36" t="s">
        <v>98</v>
      </c>
      <c r="D95" s="36">
        <f>ROUNDUP(D88*15,0)</f>
        <v>8483</v>
      </c>
      <c r="E95" s="36"/>
    </row>
    <row r="96" spans="1:5" ht="15" x14ac:dyDescent="0.25">
      <c r="A96" s="37" t="s">
        <v>7</v>
      </c>
      <c r="B96" s="38"/>
      <c r="C96" s="38"/>
      <c r="D96" s="38"/>
      <c r="E96" s="39"/>
    </row>
    <row r="97" spans="1:5" ht="15" x14ac:dyDescent="0.25">
      <c r="A97" s="31">
        <v>13</v>
      </c>
      <c r="B97" s="32" t="s">
        <v>4</v>
      </c>
      <c r="C97" s="31" t="s">
        <v>0</v>
      </c>
      <c r="D97" s="33">
        <v>301.5</v>
      </c>
      <c r="E97" s="31"/>
    </row>
    <row r="98" spans="1:5" ht="15" x14ac:dyDescent="0.25">
      <c r="A98" s="34"/>
      <c r="B98" s="35" t="s">
        <v>124</v>
      </c>
      <c r="C98" s="19" t="s">
        <v>0</v>
      </c>
      <c r="D98" s="36">
        <f>D97*1.02</f>
        <v>307.53000000000003</v>
      </c>
      <c r="E98" s="20"/>
    </row>
    <row r="99" spans="1:5" ht="54" customHeight="1" x14ac:dyDescent="0.25">
      <c r="A99" s="34"/>
      <c r="B99" s="35" t="s">
        <v>9</v>
      </c>
      <c r="C99" s="36" t="s">
        <v>10</v>
      </c>
      <c r="D99" s="36">
        <f>D97*0.15</f>
        <v>45.225000000000001</v>
      </c>
      <c r="E99" s="20"/>
    </row>
    <row r="100" spans="1:5" ht="15" x14ac:dyDescent="0.25">
      <c r="A100" s="40"/>
      <c r="B100" s="35" t="s">
        <v>135</v>
      </c>
      <c r="C100" s="36" t="s">
        <v>13</v>
      </c>
      <c r="D100" s="36">
        <f>D97*4.4</f>
        <v>1326.6000000000001</v>
      </c>
      <c r="E100" s="36" t="s">
        <v>137</v>
      </c>
    </row>
    <row r="101" spans="1:5" ht="15" x14ac:dyDescent="0.25">
      <c r="A101" s="34"/>
      <c r="B101" s="35" t="s">
        <v>178</v>
      </c>
      <c r="C101" s="36" t="s">
        <v>13</v>
      </c>
      <c r="D101" s="36">
        <f>D97*0.09</f>
        <v>27.134999999999998</v>
      </c>
      <c r="E101" s="36" t="s">
        <v>179</v>
      </c>
    </row>
    <row r="102" spans="1:5" ht="15" x14ac:dyDescent="0.25">
      <c r="A102" s="34"/>
      <c r="B102" s="35" t="s">
        <v>184</v>
      </c>
      <c r="C102" s="36" t="s">
        <v>98</v>
      </c>
      <c r="D102" s="36">
        <f>CEILING(D97*27,1)</f>
        <v>8141</v>
      </c>
      <c r="E102" s="20"/>
    </row>
    <row r="103" spans="1:5" ht="15" x14ac:dyDescent="0.25">
      <c r="A103" s="34"/>
      <c r="B103" s="35" t="s">
        <v>185</v>
      </c>
      <c r="C103" s="36" t="s">
        <v>98</v>
      </c>
      <c r="D103" s="36">
        <f>CEILING(D98*10,1)</f>
        <v>3076</v>
      </c>
      <c r="E103" s="20"/>
    </row>
    <row r="104" spans="1:5" ht="15" x14ac:dyDescent="0.25">
      <c r="A104" s="34"/>
      <c r="B104" s="35" t="s">
        <v>186</v>
      </c>
      <c r="C104" s="36" t="s">
        <v>98</v>
      </c>
      <c r="D104" s="36">
        <f>ROUNDUP(D97*15,0)</f>
        <v>4523</v>
      </c>
      <c r="E104" s="20"/>
    </row>
    <row r="105" spans="1:5" ht="15" x14ac:dyDescent="0.25">
      <c r="A105" s="37" t="s">
        <v>11</v>
      </c>
      <c r="B105" s="38"/>
      <c r="C105" s="38"/>
      <c r="D105" s="38"/>
      <c r="E105" s="39"/>
    </row>
    <row r="106" spans="1:5" ht="30" x14ac:dyDescent="0.25">
      <c r="A106" s="31">
        <v>14</v>
      </c>
      <c r="B106" s="32" t="s">
        <v>2</v>
      </c>
      <c r="C106" s="31" t="s">
        <v>0</v>
      </c>
      <c r="D106" s="33">
        <v>114.7</v>
      </c>
      <c r="E106" s="31"/>
    </row>
    <row r="107" spans="1:5" ht="55.5" customHeight="1" x14ac:dyDescent="0.25">
      <c r="A107" s="34"/>
      <c r="B107" s="35" t="s">
        <v>9</v>
      </c>
      <c r="C107" s="36" t="s">
        <v>10</v>
      </c>
      <c r="D107" s="36">
        <f>D106*0.15</f>
        <v>17.204999999999998</v>
      </c>
      <c r="E107" s="20"/>
    </row>
    <row r="108" spans="1:5" ht="45" x14ac:dyDescent="0.25">
      <c r="A108" s="31">
        <v>15</v>
      </c>
      <c r="B108" s="32" t="s">
        <v>6</v>
      </c>
      <c r="C108" s="31" t="s">
        <v>0</v>
      </c>
      <c r="D108" s="33">
        <v>114.7</v>
      </c>
      <c r="E108" s="31"/>
    </row>
    <row r="109" spans="1:5" ht="90" x14ac:dyDescent="0.25">
      <c r="A109" s="34"/>
      <c r="B109" s="35" t="s">
        <v>12</v>
      </c>
      <c r="C109" s="36" t="s">
        <v>13</v>
      </c>
      <c r="D109" s="36">
        <f>D108*3.3</f>
        <v>378.51</v>
      </c>
      <c r="E109" s="20"/>
    </row>
    <row r="110" spans="1:5" ht="15" x14ac:dyDescent="0.25">
      <c r="A110" s="31">
        <v>16</v>
      </c>
      <c r="B110" s="32" t="s">
        <v>4</v>
      </c>
      <c r="C110" s="31" t="s">
        <v>0</v>
      </c>
      <c r="D110" s="33">
        <v>114.7</v>
      </c>
      <c r="E110" s="31"/>
    </row>
    <row r="111" spans="1:5" ht="15" x14ac:dyDescent="0.25">
      <c r="A111" s="34"/>
      <c r="B111" s="35" t="s">
        <v>124</v>
      </c>
      <c r="C111" s="19" t="s">
        <v>0</v>
      </c>
      <c r="D111" s="36">
        <f>D110*1.02</f>
        <v>116.994</v>
      </c>
      <c r="E111" s="20"/>
    </row>
    <row r="112" spans="1:5" ht="51.75" customHeight="1" x14ac:dyDescent="0.25">
      <c r="A112" s="34"/>
      <c r="B112" s="35" t="s">
        <v>9</v>
      </c>
      <c r="C112" s="36" t="s">
        <v>10</v>
      </c>
      <c r="D112" s="36">
        <f>D110*0.15</f>
        <v>17.204999999999998</v>
      </c>
      <c r="E112" s="20"/>
    </row>
    <row r="113" spans="1:5" ht="15" x14ac:dyDescent="0.25">
      <c r="A113" s="40"/>
      <c r="B113" s="35" t="s">
        <v>135</v>
      </c>
      <c r="C113" s="36" t="s">
        <v>13</v>
      </c>
      <c r="D113" s="36">
        <f>D110*4.4</f>
        <v>504.68000000000006</v>
      </c>
      <c r="E113" s="36" t="s">
        <v>137</v>
      </c>
    </row>
    <row r="114" spans="1:5" ht="15" x14ac:dyDescent="0.25">
      <c r="A114" s="34"/>
      <c r="B114" s="35" t="s">
        <v>178</v>
      </c>
      <c r="C114" s="36" t="s">
        <v>13</v>
      </c>
      <c r="D114" s="36">
        <f>D110*0.09</f>
        <v>10.323</v>
      </c>
      <c r="E114" s="36" t="s">
        <v>179</v>
      </c>
    </row>
    <row r="115" spans="1:5" ht="15" x14ac:dyDescent="0.25">
      <c r="A115" s="34"/>
      <c r="B115" s="35" t="s">
        <v>184</v>
      </c>
      <c r="C115" s="36" t="s">
        <v>98</v>
      </c>
      <c r="D115" s="36">
        <f>CEILING(D110*27,1)</f>
        <v>3097</v>
      </c>
      <c r="E115" s="20"/>
    </row>
    <row r="116" spans="1:5" ht="15" x14ac:dyDescent="0.25">
      <c r="A116" s="34"/>
      <c r="B116" s="35" t="s">
        <v>185</v>
      </c>
      <c r="C116" s="36" t="s">
        <v>98</v>
      </c>
      <c r="D116" s="36">
        <f>CEILING(D111*10,1)</f>
        <v>1170</v>
      </c>
      <c r="E116" s="20"/>
    </row>
    <row r="117" spans="1:5" ht="15" x14ac:dyDescent="0.25">
      <c r="A117" s="34"/>
      <c r="B117" s="35" t="s">
        <v>186</v>
      </c>
      <c r="C117" s="36" t="s">
        <v>98</v>
      </c>
      <c r="D117" s="36">
        <f>ROUNDUP(D110*15,0)</f>
        <v>1721</v>
      </c>
      <c r="E117" s="20"/>
    </row>
    <row r="118" spans="1:5" ht="15" x14ac:dyDescent="0.25">
      <c r="A118" s="37" t="s">
        <v>14</v>
      </c>
      <c r="B118" s="38"/>
      <c r="C118" s="38"/>
      <c r="D118" s="38"/>
      <c r="E118" s="39"/>
    </row>
    <row r="119" spans="1:5" ht="30" x14ac:dyDescent="0.25">
      <c r="A119" s="31">
        <v>17</v>
      </c>
      <c r="B119" s="32" t="s">
        <v>2</v>
      </c>
      <c r="C119" s="31" t="s">
        <v>0</v>
      </c>
      <c r="D119" s="33">
        <v>5.7</v>
      </c>
      <c r="E119" s="31"/>
    </row>
    <row r="120" spans="1:5" ht="57.75" customHeight="1" x14ac:dyDescent="0.25">
      <c r="A120" s="34"/>
      <c r="B120" s="35" t="s">
        <v>9</v>
      </c>
      <c r="C120" s="36" t="s">
        <v>10</v>
      </c>
      <c r="D120" s="36">
        <f>D119*0.15</f>
        <v>0.85499999999999998</v>
      </c>
      <c r="E120" s="20"/>
    </row>
    <row r="121" spans="1:5" ht="45" x14ac:dyDescent="0.25">
      <c r="A121" s="31">
        <v>18</v>
      </c>
      <c r="B121" s="32" t="s">
        <v>6</v>
      </c>
      <c r="C121" s="31" t="s">
        <v>0</v>
      </c>
      <c r="D121" s="33">
        <v>5.7</v>
      </c>
      <c r="E121" s="31"/>
    </row>
    <row r="122" spans="1:5" ht="90" x14ac:dyDescent="0.25">
      <c r="A122" s="34"/>
      <c r="B122" s="35" t="s">
        <v>12</v>
      </c>
      <c r="C122" s="36" t="s">
        <v>13</v>
      </c>
      <c r="D122" s="36">
        <f>D121*3.3</f>
        <v>18.809999999999999</v>
      </c>
      <c r="E122" s="20"/>
    </row>
    <row r="123" spans="1:5" ht="15" x14ac:dyDescent="0.25">
      <c r="A123" s="31">
        <v>19</v>
      </c>
      <c r="B123" s="32" t="s">
        <v>4</v>
      </c>
      <c r="C123" s="31" t="s">
        <v>0</v>
      </c>
      <c r="D123" s="33">
        <v>5.7</v>
      </c>
      <c r="E123" s="31"/>
    </row>
    <row r="124" spans="1:5" ht="15" x14ac:dyDescent="0.25">
      <c r="A124" s="34"/>
      <c r="B124" s="35" t="s">
        <v>124</v>
      </c>
      <c r="C124" s="19" t="s">
        <v>0</v>
      </c>
      <c r="D124" s="36">
        <f>D123*1.02</f>
        <v>5.8140000000000001</v>
      </c>
      <c r="E124" s="20"/>
    </row>
    <row r="125" spans="1:5" ht="60" x14ac:dyDescent="0.25">
      <c r="A125" s="34"/>
      <c r="B125" s="35" t="s">
        <v>9</v>
      </c>
      <c r="C125" s="36" t="s">
        <v>10</v>
      </c>
      <c r="D125" s="36">
        <f>D123*0.15</f>
        <v>0.85499999999999998</v>
      </c>
      <c r="E125" s="20"/>
    </row>
    <row r="126" spans="1:5" ht="15" x14ac:dyDescent="0.25">
      <c r="A126" s="34"/>
      <c r="B126" s="35" t="s">
        <v>135</v>
      </c>
      <c r="C126" s="36" t="s">
        <v>13</v>
      </c>
      <c r="D126" s="36">
        <f>D123*4.4</f>
        <v>25.080000000000002</v>
      </c>
      <c r="E126" s="36" t="s">
        <v>137</v>
      </c>
    </row>
    <row r="127" spans="1:5" ht="15" x14ac:dyDescent="0.25">
      <c r="A127" s="34"/>
      <c r="B127" s="35" t="s">
        <v>178</v>
      </c>
      <c r="C127" s="36" t="s">
        <v>13</v>
      </c>
      <c r="D127" s="36">
        <f>D123*0.09</f>
        <v>0.51300000000000001</v>
      </c>
      <c r="E127" s="36" t="s">
        <v>179</v>
      </c>
    </row>
    <row r="128" spans="1:5" ht="15" x14ac:dyDescent="0.25">
      <c r="A128" s="34"/>
      <c r="B128" s="35" t="s">
        <v>184</v>
      </c>
      <c r="C128" s="36" t="s">
        <v>98</v>
      </c>
      <c r="D128" s="36">
        <f>CEILING(D123*27,1)</f>
        <v>154</v>
      </c>
      <c r="E128" s="20"/>
    </row>
    <row r="129" spans="1:5" ht="15" x14ac:dyDescent="0.25">
      <c r="A129" s="34"/>
      <c r="B129" s="35" t="s">
        <v>185</v>
      </c>
      <c r="C129" s="36" t="s">
        <v>98</v>
      </c>
      <c r="D129" s="36">
        <f>CEILING(D124*10,1)</f>
        <v>59</v>
      </c>
      <c r="E129" s="20"/>
    </row>
    <row r="130" spans="1:5" ht="15" x14ac:dyDescent="0.25">
      <c r="A130" s="34"/>
      <c r="B130" s="35" t="s">
        <v>186</v>
      </c>
      <c r="C130" s="36" t="s">
        <v>98</v>
      </c>
      <c r="D130" s="36">
        <f>ROUNDUP(D123*15,0)</f>
        <v>86</v>
      </c>
      <c r="E130" s="20"/>
    </row>
    <row r="131" spans="1:5" ht="15" x14ac:dyDescent="0.25">
      <c r="A131" s="37" t="s">
        <v>15</v>
      </c>
      <c r="B131" s="38"/>
      <c r="C131" s="38"/>
      <c r="D131" s="38"/>
      <c r="E131" s="39"/>
    </row>
    <row r="132" spans="1:5" ht="15" x14ac:dyDescent="0.25">
      <c r="A132" s="31">
        <v>20</v>
      </c>
      <c r="B132" s="32" t="s">
        <v>4</v>
      </c>
      <c r="C132" s="31" t="s">
        <v>0</v>
      </c>
      <c r="D132" s="33">
        <v>7.2</v>
      </c>
      <c r="E132" s="31"/>
    </row>
    <row r="133" spans="1:5" ht="15" x14ac:dyDescent="0.25">
      <c r="A133" s="34"/>
      <c r="B133" s="35" t="s">
        <v>16</v>
      </c>
      <c r="C133" s="36" t="s">
        <v>0</v>
      </c>
      <c r="D133" s="36">
        <f>D132*1.02</f>
        <v>7.3440000000000003</v>
      </c>
      <c r="E133" s="20"/>
    </row>
    <row r="134" spans="1:5" ht="54.75" customHeight="1" x14ac:dyDescent="0.25">
      <c r="A134" s="34"/>
      <c r="B134" s="35" t="s">
        <v>9</v>
      </c>
      <c r="C134" s="36" t="s">
        <v>10</v>
      </c>
      <c r="D134" s="36">
        <f>D132*0.15</f>
        <v>1.08</v>
      </c>
      <c r="E134" s="20"/>
    </row>
    <row r="135" spans="1:5" ht="15" x14ac:dyDescent="0.25">
      <c r="A135" s="40"/>
      <c r="B135" s="35" t="s">
        <v>135</v>
      </c>
      <c r="C135" s="36" t="s">
        <v>13</v>
      </c>
      <c r="D135" s="36">
        <f>D132*4.4</f>
        <v>31.680000000000003</v>
      </c>
      <c r="E135" s="36" t="s">
        <v>137</v>
      </c>
    </row>
    <row r="136" spans="1:5" ht="15" x14ac:dyDescent="0.25">
      <c r="A136" s="34"/>
      <c r="B136" s="35" t="s">
        <v>178</v>
      </c>
      <c r="C136" s="36" t="s">
        <v>13</v>
      </c>
      <c r="D136" s="36">
        <f>D132*0.09</f>
        <v>0.64800000000000002</v>
      </c>
      <c r="E136" s="36" t="s">
        <v>179</v>
      </c>
    </row>
    <row r="137" spans="1:5" ht="15" x14ac:dyDescent="0.25">
      <c r="A137" s="34"/>
      <c r="B137" s="35" t="s">
        <v>184</v>
      </c>
      <c r="C137" s="36" t="s">
        <v>98</v>
      </c>
      <c r="D137" s="36">
        <f>CEILING(D132*27,1)</f>
        <v>195</v>
      </c>
      <c r="E137" s="20"/>
    </row>
    <row r="138" spans="1:5" ht="15" x14ac:dyDescent="0.25">
      <c r="A138" s="34"/>
      <c r="B138" s="35" t="s">
        <v>185</v>
      </c>
      <c r="C138" s="36" t="s">
        <v>98</v>
      </c>
      <c r="D138" s="36">
        <f>CEILING(D133*10,1)</f>
        <v>74</v>
      </c>
      <c r="E138" s="20"/>
    </row>
    <row r="139" spans="1:5" ht="15" x14ac:dyDescent="0.25">
      <c r="A139" s="34"/>
      <c r="B139" s="35" t="s">
        <v>186</v>
      </c>
      <c r="C139" s="36" t="s">
        <v>98</v>
      </c>
      <c r="D139" s="36">
        <f>ROUNDUP(D132*15,0)</f>
        <v>108</v>
      </c>
      <c r="E139" s="20"/>
    </row>
    <row r="140" spans="1:5" ht="15" x14ac:dyDescent="0.25">
      <c r="A140" s="37" t="s">
        <v>17</v>
      </c>
      <c r="B140" s="38"/>
      <c r="C140" s="38"/>
      <c r="D140" s="38"/>
      <c r="E140" s="39"/>
    </row>
    <row r="141" spans="1:5" ht="30" x14ac:dyDescent="0.25">
      <c r="A141" s="31">
        <v>21</v>
      </c>
      <c r="B141" s="32" t="s">
        <v>2</v>
      </c>
      <c r="C141" s="31" t="s">
        <v>0</v>
      </c>
      <c r="D141" s="33">
        <v>197.9</v>
      </c>
      <c r="E141" s="31"/>
    </row>
    <row r="142" spans="1:5" ht="51.75" customHeight="1" x14ac:dyDescent="0.25">
      <c r="A142" s="34"/>
      <c r="B142" s="35" t="s">
        <v>9</v>
      </c>
      <c r="C142" s="36" t="s">
        <v>10</v>
      </c>
      <c r="D142" s="36">
        <f>D141*0.15</f>
        <v>29.684999999999999</v>
      </c>
      <c r="E142" s="20"/>
    </row>
    <row r="143" spans="1:5" ht="45" x14ac:dyDescent="0.25">
      <c r="A143" s="31">
        <v>22</v>
      </c>
      <c r="B143" s="32" t="s">
        <v>6</v>
      </c>
      <c r="C143" s="31" t="s">
        <v>0</v>
      </c>
      <c r="D143" s="33">
        <v>197.9</v>
      </c>
      <c r="E143" s="31"/>
    </row>
    <row r="144" spans="1:5" ht="90" x14ac:dyDescent="0.25">
      <c r="A144" s="34"/>
      <c r="B144" s="35" t="s">
        <v>12</v>
      </c>
      <c r="C144" s="36" t="s">
        <v>13</v>
      </c>
      <c r="D144" s="36">
        <f>D143*3.3</f>
        <v>653.06999999999994</v>
      </c>
      <c r="E144" s="20"/>
    </row>
    <row r="145" spans="1:5" ht="15" x14ac:dyDescent="0.25">
      <c r="A145" s="31">
        <v>23</v>
      </c>
      <c r="B145" s="32" t="s">
        <v>1</v>
      </c>
      <c r="C145" s="31" t="s">
        <v>0</v>
      </c>
      <c r="D145" s="33">
        <v>197.9</v>
      </c>
      <c r="E145" s="31"/>
    </row>
    <row r="146" spans="1:5" ht="15" x14ac:dyDescent="0.25">
      <c r="A146" s="34"/>
      <c r="B146" s="35" t="s">
        <v>119</v>
      </c>
      <c r="C146" s="19" t="s">
        <v>0</v>
      </c>
      <c r="D146" s="36">
        <f>D145*1.02</f>
        <v>201.858</v>
      </c>
      <c r="E146" s="20"/>
    </row>
    <row r="147" spans="1:5" ht="57" customHeight="1" x14ac:dyDescent="0.25">
      <c r="A147" s="34"/>
      <c r="B147" s="35" t="s">
        <v>9</v>
      </c>
      <c r="C147" s="36" t="s">
        <v>10</v>
      </c>
      <c r="D147" s="36">
        <f>D145*0.15</f>
        <v>29.684999999999999</v>
      </c>
      <c r="E147" s="20"/>
    </row>
    <row r="148" spans="1:5" ht="15" x14ac:dyDescent="0.25">
      <c r="A148" s="40"/>
      <c r="B148" s="35" t="s">
        <v>135</v>
      </c>
      <c r="C148" s="36" t="s">
        <v>13</v>
      </c>
      <c r="D148" s="36">
        <f>D145*7.5</f>
        <v>1484.25</v>
      </c>
      <c r="E148" s="36" t="s">
        <v>136</v>
      </c>
    </row>
    <row r="149" spans="1:5" ht="15" x14ac:dyDescent="0.25">
      <c r="A149" s="34"/>
      <c r="B149" s="35" t="s">
        <v>176</v>
      </c>
      <c r="C149" s="36" t="s">
        <v>13</v>
      </c>
      <c r="D149" s="36">
        <f>D145*0.09</f>
        <v>17.811</v>
      </c>
      <c r="E149" s="36" t="s">
        <v>174</v>
      </c>
    </row>
    <row r="150" spans="1:5" ht="15" x14ac:dyDescent="0.25">
      <c r="A150" s="34"/>
      <c r="B150" s="35" t="s">
        <v>184</v>
      </c>
      <c r="C150" s="36" t="s">
        <v>98</v>
      </c>
      <c r="D150" s="36">
        <f>CEILING(D145*7,1)</f>
        <v>1386</v>
      </c>
      <c r="E150" s="20"/>
    </row>
    <row r="151" spans="1:5" ht="15" x14ac:dyDescent="0.25">
      <c r="A151" s="34"/>
      <c r="B151" s="35" t="s">
        <v>185</v>
      </c>
      <c r="C151" s="36" t="s">
        <v>98</v>
      </c>
      <c r="D151" s="36">
        <f>CEILING(D146*3,1)</f>
        <v>606</v>
      </c>
      <c r="E151" s="20"/>
    </row>
    <row r="152" spans="1:5" ht="15" x14ac:dyDescent="0.25">
      <c r="A152" s="34"/>
      <c r="B152" s="35" t="s">
        <v>186</v>
      </c>
      <c r="C152" s="36" t="s">
        <v>98</v>
      </c>
      <c r="D152" s="36">
        <f>ROUNDUP(D145*15,0)</f>
        <v>2969</v>
      </c>
      <c r="E152" s="20"/>
    </row>
    <row r="153" spans="1:5" ht="15" x14ac:dyDescent="0.25">
      <c r="A153" s="37" t="s">
        <v>18</v>
      </c>
      <c r="B153" s="38"/>
      <c r="C153" s="38"/>
      <c r="D153" s="38"/>
      <c r="E153" s="39"/>
    </row>
    <row r="154" spans="1:5" ht="30" x14ac:dyDescent="0.25">
      <c r="A154" s="31">
        <v>24</v>
      </c>
      <c r="B154" s="32" t="s">
        <v>2</v>
      </c>
      <c r="C154" s="31" t="s">
        <v>0</v>
      </c>
      <c r="D154" s="33">
        <v>128.5</v>
      </c>
      <c r="E154" s="31"/>
    </row>
    <row r="155" spans="1:5" ht="60" x14ac:dyDescent="0.25">
      <c r="A155" s="34"/>
      <c r="B155" s="35" t="s">
        <v>9</v>
      </c>
      <c r="C155" s="36" t="s">
        <v>10</v>
      </c>
      <c r="D155" s="36">
        <f>D154*0.15</f>
        <v>19.274999999999999</v>
      </c>
      <c r="E155" s="20"/>
    </row>
    <row r="156" spans="1:5" ht="45" x14ac:dyDescent="0.25">
      <c r="A156" s="31">
        <v>25</v>
      </c>
      <c r="B156" s="32" t="s">
        <v>6</v>
      </c>
      <c r="C156" s="31" t="s">
        <v>0</v>
      </c>
      <c r="D156" s="33">
        <v>128.5</v>
      </c>
      <c r="E156" s="31"/>
    </row>
    <row r="157" spans="1:5" ht="90" x14ac:dyDescent="0.25">
      <c r="A157" s="34"/>
      <c r="B157" s="35" t="s">
        <v>12</v>
      </c>
      <c r="C157" s="36" t="s">
        <v>13</v>
      </c>
      <c r="D157" s="36">
        <f>D156*3.3</f>
        <v>424.04999999999995</v>
      </c>
      <c r="E157" s="20"/>
    </row>
    <row r="158" spans="1:5" ht="15" x14ac:dyDescent="0.25">
      <c r="A158" s="31">
        <v>26</v>
      </c>
      <c r="B158" s="32" t="s">
        <v>1</v>
      </c>
      <c r="C158" s="31" t="s">
        <v>0</v>
      </c>
      <c r="D158" s="33">
        <v>128.5</v>
      </c>
      <c r="E158" s="31"/>
    </row>
    <row r="159" spans="1:5" ht="15" x14ac:dyDescent="0.25">
      <c r="A159" s="34"/>
      <c r="B159" s="35" t="s">
        <v>19</v>
      </c>
      <c r="C159" s="36" t="s">
        <v>0</v>
      </c>
      <c r="D159" s="36">
        <f>D158*1.02</f>
        <v>131.07</v>
      </c>
      <c r="E159" s="20"/>
    </row>
    <row r="160" spans="1:5" ht="60" x14ac:dyDescent="0.25">
      <c r="A160" s="34"/>
      <c r="B160" s="35" t="s">
        <v>9</v>
      </c>
      <c r="C160" s="36" t="s">
        <v>10</v>
      </c>
      <c r="D160" s="36">
        <f>D158*0.15</f>
        <v>19.274999999999999</v>
      </c>
      <c r="E160" s="20"/>
    </row>
    <row r="161" spans="1:5" ht="15" x14ac:dyDescent="0.25">
      <c r="A161" s="40"/>
      <c r="B161" s="35" t="s">
        <v>135</v>
      </c>
      <c r="C161" s="36" t="s">
        <v>13</v>
      </c>
      <c r="D161" s="36">
        <f>D158*7.5</f>
        <v>963.75</v>
      </c>
      <c r="E161" s="36" t="s">
        <v>136</v>
      </c>
    </row>
    <row r="162" spans="1:5" ht="15" x14ac:dyDescent="0.25">
      <c r="A162" s="34"/>
      <c r="B162" s="35" t="s">
        <v>177</v>
      </c>
      <c r="C162" s="36" t="s">
        <v>13</v>
      </c>
      <c r="D162" s="36">
        <f>D158*0.09</f>
        <v>11.565</v>
      </c>
      <c r="E162" s="36" t="s">
        <v>174</v>
      </c>
    </row>
    <row r="163" spans="1:5" ht="15" x14ac:dyDescent="0.25">
      <c r="A163" s="34"/>
      <c r="B163" s="35" t="s">
        <v>184</v>
      </c>
      <c r="C163" s="36" t="s">
        <v>98</v>
      </c>
      <c r="D163" s="36">
        <f>CEILING(D158*7,1)</f>
        <v>900</v>
      </c>
      <c r="E163" s="20"/>
    </row>
    <row r="164" spans="1:5" ht="15" x14ac:dyDescent="0.25">
      <c r="A164" s="34"/>
      <c r="B164" s="35" t="s">
        <v>185</v>
      </c>
      <c r="C164" s="36" t="s">
        <v>98</v>
      </c>
      <c r="D164" s="36">
        <f>CEILING(D159*3,1)</f>
        <v>394</v>
      </c>
      <c r="E164" s="20"/>
    </row>
    <row r="165" spans="1:5" ht="15" x14ac:dyDescent="0.25">
      <c r="A165" s="34"/>
      <c r="B165" s="35" t="s">
        <v>186</v>
      </c>
      <c r="C165" s="36" t="s">
        <v>98</v>
      </c>
      <c r="D165" s="36">
        <f>ROUNDUP(D158*15,0)</f>
        <v>1928</v>
      </c>
      <c r="E165" s="20"/>
    </row>
    <row r="166" spans="1:5" ht="15" x14ac:dyDescent="0.25">
      <c r="A166" s="37" t="s">
        <v>20</v>
      </c>
      <c r="B166" s="38"/>
      <c r="C166" s="38"/>
      <c r="D166" s="38"/>
      <c r="E166" s="39"/>
    </row>
    <row r="167" spans="1:5" ht="15" x14ac:dyDescent="0.25">
      <c r="A167" s="31">
        <v>27</v>
      </c>
      <c r="B167" s="32" t="s">
        <v>1</v>
      </c>
      <c r="C167" s="31" t="s">
        <v>0</v>
      </c>
      <c r="D167" s="33">
        <v>79.5</v>
      </c>
      <c r="E167" s="31"/>
    </row>
    <row r="168" spans="1:5" ht="15" x14ac:dyDescent="0.25">
      <c r="A168" s="34"/>
      <c r="B168" s="35" t="s">
        <v>19</v>
      </c>
      <c r="C168" s="36" t="s">
        <v>0</v>
      </c>
      <c r="D168" s="36">
        <f>D167*1.02</f>
        <v>81.09</v>
      </c>
      <c r="E168" s="20"/>
    </row>
    <row r="169" spans="1:5" ht="52.5" customHeight="1" x14ac:dyDescent="0.25">
      <c r="A169" s="34"/>
      <c r="B169" s="35" t="s">
        <v>9</v>
      </c>
      <c r="C169" s="36" t="s">
        <v>10</v>
      </c>
      <c r="D169" s="36">
        <f>D167*0.15</f>
        <v>11.924999999999999</v>
      </c>
      <c r="E169" s="20"/>
    </row>
    <row r="170" spans="1:5" ht="15" x14ac:dyDescent="0.25">
      <c r="A170" s="40"/>
      <c r="B170" s="35" t="s">
        <v>135</v>
      </c>
      <c r="C170" s="36" t="s">
        <v>13</v>
      </c>
      <c r="D170" s="36">
        <f>D167*7.5</f>
        <v>596.25</v>
      </c>
      <c r="E170" s="36" t="s">
        <v>136</v>
      </c>
    </row>
    <row r="171" spans="1:5" ht="15" x14ac:dyDescent="0.25">
      <c r="A171" s="34"/>
      <c r="B171" s="35" t="s">
        <v>177</v>
      </c>
      <c r="C171" s="36" t="s">
        <v>13</v>
      </c>
      <c r="D171" s="36">
        <f>D167*0.09</f>
        <v>7.1549999999999994</v>
      </c>
      <c r="E171" s="36" t="s">
        <v>174</v>
      </c>
    </row>
    <row r="172" spans="1:5" ht="15" x14ac:dyDescent="0.25">
      <c r="A172" s="34"/>
      <c r="B172" s="35" t="s">
        <v>184</v>
      </c>
      <c r="C172" s="36" t="s">
        <v>98</v>
      </c>
      <c r="D172" s="36">
        <f>CEILING(D167*7,1)</f>
        <v>557</v>
      </c>
      <c r="E172" s="36"/>
    </row>
    <row r="173" spans="1:5" ht="15" x14ac:dyDescent="0.25">
      <c r="A173" s="34"/>
      <c r="B173" s="35" t="s">
        <v>185</v>
      </c>
      <c r="C173" s="36" t="s">
        <v>98</v>
      </c>
      <c r="D173" s="36">
        <f>CEILING(D168*3,1)</f>
        <v>244</v>
      </c>
      <c r="E173" s="36"/>
    </row>
    <row r="174" spans="1:5" ht="15" x14ac:dyDescent="0.25">
      <c r="A174" s="34"/>
      <c r="B174" s="35" t="s">
        <v>186</v>
      </c>
      <c r="C174" s="36" t="s">
        <v>98</v>
      </c>
      <c r="D174" s="36">
        <f>ROUNDUP(D167*15,0)</f>
        <v>1193</v>
      </c>
      <c r="E174" s="36"/>
    </row>
    <row r="175" spans="1:5" ht="15" x14ac:dyDescent="0.25">
      <c r="A175" s="37" t="s">
        <v>21</v>
      </c>
      <c r="B175" s="38"/>
      <c r="C175" s="38"/>
      <c r="D175" s="38"/>
      <c r="E175" s="39"/>
    </row>
    <row r="176" spans="1:5" ht="15" x14ac:dyDescent="0.25">
      <c r="A176" s="31">
        <v>28</v>
      </c>
      <c r="B176" s="32" t="s">
        <v>1</v>
      </c>
      <c r="C176" s="31" t="s">
        <v>0</v>
      </c>
      <c r="D176" s="33">
        <v>517</v>
      </c>
      <c r="E176" s="31"/>
    </row>
    <row r="177" spans="1:5" ht="15" x14ac:dyDescent="0.25">
      <c r="A177" s="34"/>
      <c r="B177" s="35" t="s">
        <v>22</v>
      </c>
      <c r="C177" s="36" t="s">
        <v>0</v>
      </c>
      <c r="D177" s="36">
        <f>D176*1.02</f>
        <v>527.34</v>
      </c>
      <c r="E177" s="20"/>
    </row>
    <row r="178" spans="1:5" ht="47.25" customHeight="1" x14ac:dyDescent="0.25">
      <c r="A178" s="34"/>
      <c r="B178" s="35" t="s">
        <v>9</v>
      </c>
      <c r="C178" s="36" t="s">
        <v>10</v>
      </c>
      <c r="D178" s="36">
        <f>D176*0.15</f>
        <v>77.55</v>
      </c>
      <c r="E178" s="20"/>
    </row>
    <row r="179" spans="1:5" ht="15" x14ac:dyDescent="0.25">
      <c r="A179" s="40"/>
      <c r="B179" s="35" t="s">
        <v>135</v>
      </c>
      <c r="C179" s="36" t="s">
        <v>13</v>
      </c>
      <c r="D179" s="36">
        <f>D176*7.5</f>
        <v>3877.5</v>
      </c>
      <c r="E179" s="36" t="s">
        <v>136</v>
      </c>
    </row>
    <row r="180" spans="1:5" ht="15" x14ac:dyDescent="0.25">
      <c r="A180" s="34"/>
      <c r="B180" s="35" t="s">
        <v>177</v>
      </c>
      <c r="C180" s="36" t="s">
        <v>13</v>
      </c>
      <c r="D180" s="36">
        <f>D176*0.09</f>
        <v>46.53</v>
      </c>
      <c r="E180" s="36" t="s">
        <v>174</v>
      </c>
    </row>
    <row r="181" spans="1:5" ht="15" x14ac:dyDescent="0.25">
      <c r="A181" s="34"/>
      <c r="B181" s="35" t="s">
        <v>184</v>
      </c>
      <c r="C181" s="36" t="s">
        <v>98</v>
      </c>
      <c r="D181" s="36">
        <f>CEILING(D176*7,1)</f>
        <v>3619</v>
      </c>
      <c r="E181" s="20"/>
    </row>
    <row r="182" spans="1:5" ht="15" x14ac:dyDescent="0.25">
      <c r="A182" s="34"/>
      <c r="B182" s="35" t="s">
        <v>185</v>
      </c>
      <c r="C182" s="36" t="s">
        <v>98</v>
      </c>
      <c r="D182" s="36">
        <f>CEILING(D177*3,1)</f>
        <v>1583</v>
      </c>
      <c r="E182" s="20"/>
    </row>
    <row r="183" spans="1:5" ht="15" x14ac:dyDescent="0.25">
      <c r="A183" s="34"/>
      <c r="B183" s="35" t="s">
        <v>186</v>
      </c>
      <c r="C183" s="36" t="s">
        <v>98</v>
      </c>
      <c r="D183" s="36">
        <f>ROUNDUP(D176*15,0)</f>
        <v>7755</v>
      </c>
      <c r="E183" s="20"/>
    </row>
    <row r="184" spans="1:5" ht="15" x14ac:dyDescent="0.25">
      <c r="A184" s="37" t="s">
        <v>23</v>
      </c>
      <c r="B184" s="38"/>
      <c r="C184" s="38"/>
      <c r="D184" s="38"/>
      <c r="E184" s="39"/>
    </row>
    <row r="185" spans="1:5" ht="15" x14ac:dyDescent="0.25">
      <c r="A185" s="31">
        <v>29</v>
      </c>
      <c r="B185" s="32" t="s">
        <v>1</v>
      </c>
      <c r="C185" s="31" t="s">
        <v>0</v>
      </c>
      <c r="D185" s="33">
        <v>218.5</v>
      </c>
      <c r="E185" s="31"/>
    </row>
    <row r="186" spans="1:5" ht="15" x14ac:dyDescent="0.25">
      <c r="A186" s="34"/>
      <c r="B186" s="35" t="s">
        <v>22</v>
      </c>
      <c r="C186" s="36" t="s">
        <v>0</v>
      </c>
      <c r="D186" s="36">
        <f>D185*1.02</f>
        <v>222.87</v>
      </c>
      <c r="E186" s="20"/>
    </row>
    <row r="187" spans="1:5" ht="52.5" customHeight="1" x14ac:dyDescent="0.25">
      <c r="A187" s="34"/>
      <c r="B187" s="35" t="s">
        <v>9</v>
      </c>
      <c r="C187" s="36" t="s">
        <v>10</v>
      </c>
      <c r="D187" s="36">
        <f>D185*0.15</f>
        <v>32.774999999999999</v>
      </c>
      <c r="E187" s="20"/>
    </row>
    <row r="188" spans="1:5" ht="15" x14ac:dyDescent="0.25">
      <c r="A188" s="40"/>
      <c r="B188" s="35" t="s">
        <v>135</v>
      </c>
      <c r="C188" s="36" t="s">
        <v>13</v>
      </c>
      <c r="D188" s="36">
        <f>D185*7.5</f>
        <v>1638.75</v>
      </c>
      <c r="E188" s="36" t="s">
        <v>136</v>
      </c>
    </row>
    <row r="189" spans="1:5" ht="15" x14ac:dyDescent="0.25">
      <c r="A189" s="34"/>
      <c r="B189" s="35" t="s">
        <v>180</v>
      </c>
      <c r="C189" s="36" t="s">
        <v>13</v>
      </c>
      <c r="D189" s="36">
        <f>D185*0.09</f>
        <v>19.664999999999999</v>
      </c>
      <c r="E189" s="36" t="s">
        <v>174</v>
      </c>
    </row>
    <row r="190" spans="1:5" ht="15" x14ac:dyDescent="0.25">
      <c r="A190" s="34"/>
      <c r="B190" s="35" t="s">
        <v>184</v>
      </c>
      <c r="C190" s="36" t="s">
        <v>98</v>
      </c>
      <c r="D190" s="36">
        <f>CEILING(D185*7,1)</f>
        <v>1530</v>
      </c>
      <c r="E190" s="20"/>
    </row>
    <row r="191" spans="1:5" ht="15" x14ac:dyDescent="0.25">
      <c r="A191" s="34"/>
      <c r="B191" s="35" t="s">
        <v>185</v>
      </c>
      <c r="C191" s="36" t="s">
        <v>98</v>
      </c>
      <c r="D191" s="36">
        <f>CEILING(D186*3,1)</f>
        <v>669</v>
      </c>
      <c r="E191" s="20"/>
    </row>
    <row r="192" spans="1:5" ht="15" x14ac:dyDescent="0.25">
      <c r="A192" s="34"/>
      <c r="B192" s="35" t="s">
        <v>186</v>
      </c>
      <c r="C192" s="36" t="s">
        <v>98</v>
      </c>
      <c r="D192" s="36">
        <f>ROUNDUP(D185*15,0)</f>
        <v>3278</v>
      </c>
      <c r="E192" s="20"/>
    </row>
    <row r="193" spans="1:5" ht="15" x14ac:dyDescent="0.25">
      <c r="A193" s="37" t="s">
        <v>24</v>
      </c>
      <c r="B193" s="38"/>
      <c r="C193" s="38"/>
      <c r="D193" s="38"/>
      <c r="E193" s="39"/>
    </row>
    <row r="194" spans="1:5" ht="15" x14ac:dyDescent="0.25">
      <c r="A194" s="31">
        <v>30</v>
      </c>
      <c r="B194" s="32" t="s">
        <v>1</v>
      </c>
      <c r="C194" s="31" t="s">
        <v>0</v>
      </c>
      <c r="D194" s="33">
        <v>103.5</v>
      </c>
      <c r="E194" s="31"/>
    </row>
    <row r="195" spans="1:5" ht="15" x14ac:dyDescent="0.25">
      <c r="A195" s="34"/>
      <c r="B195" s="35" t="s">
        <v>123</v>
      </c>
      <c r="C195" s="19" t="s">
        <v>0</v>
      </c>
      <c r="D195" s="36">
        <f>D194*1.02</f>
        <v>105.57000000000001</v>
      </c>
      <c r="E195" s="20"/>
    </row>
    <row r="196" spans="1:5" ht="56.25" customHeight="1" x14ac:dyDescent="0.25">
      <c r="A196" s="34"/>
      <c r="B196" s="35" t="s">
        <v>9</v>
      </c>
      <c r="C196" s="36" t="s">
        <v>10</v>
      </c>
      <c r="D196" s="36">
        <f>D194*0.15</f>
        <v>15.524999999999999</v>
      </c>
      <c r="E196" s="20"/>
    </row>
    <row r="197" spans="1:5" ht="15" x14ac:dyDescent="0.25">
      <c r="A197" s="40"/>
      <c r="B197" s="35" t="s">
        <v>135</v>
      </c>
      <c r="C197" s="36" t="s">
        <v>13</v>
      </c>
      <c r="D197" s="36">
        <f>D194*7.5</f>
        <v>776.25</v>
      </c>
      <c r="E197" s="36" t="s">
        <v>136</v>
      </c>
    </row>
    <row r="198" spans="1:5" ht="15" x14ac:dyDescent="0.25">
      <c r="A198" s="34"/>
      <c r="B198" s="35" t="s">
        <v>180</v>
      </c>
      <c r="C198" s="36" t="s">
        <v>13</v>
      </c>
      <c r="D198" s="36">
        <f>D194*0.09</f>
        <v>9.3149999999999995</v>
      </c>
      <c r="E198" s="36" t="s">
        <v>174</v>
      </c>
    </row>
    <row r="199" spans="1:5" ht="15" x14ac:dyDescent="0.25">
      <c r="A199" s="34"/>
      <c r="B199" s="35" t="s">
        <v>184</v>
      </c>
      <c r="C199" s="36" t="s">
        <v>98</v>
      </c>
      <c r="D199" s="36">
        <f>CEILING(D194*7,1)</f>
        <v>725</v>
      </c>
      <c r="E199" s="20"/>
    </row>
    <row r="200" spans="1:5" ht="15" x14ac:dyDescent="0.25">
      <c r="A200" s="34"/>
      <c r="B200" s="35" t="s">
        <v>185</v>
      </c>
      <c r="C200" s="36" t="s">
        <v>98</v>
      </c>
      <c r="D200" s="36">
        <f>CEILING(D195*3,1)</f>
        <v>317</v>
      </c>
      <c r="E200" s="20"/>
    </row>
    <row r="201" spans="1:5" ht="15" x14ac:dyDescent="0.25">
      <c r="A201" s="34"/>
      <c r="B201" s="35" t="s">
        <v>186</v>
      </c>
      <c r="C201" s="36" t="s">
        <v>98</v>
      </c>
      <c r="D201" s="36">
        <f>ROUNDUP(D194*15,0)</f>
        <v>1553</v>
      </c>
      <c r="E201" s="20"/>
    </row>
    <row r="202" spans="1:5" ht="15" x14ac:dyDescent="0.25">
      <c r="A202" s="37" t="s">
        <v>25</v>
      </c>
      <c r="B202" s="38"/>
      <c r="C202" s="38"/>
      <c r="D202" s="38"/>
      <c r="E202" s="39"/>
    </row>
    <row r="203" spans="1:5" ht="30" x14ac:dyDescent="0.25">
      <c r="A203" s="31">
        <v>31</v>
      </c>
      <c r="B203" s="32" t="s">
        <v>2</v>
      </c>
      <c r="C203" s="31" t="s">
        <v>0</v>
      </c>
      <c r="D203" s="33">
        <v>205.2</v>
      </c>
      <c r="E203" s="31"/>
    </row>
    <row r="204" spans="1:5" ht="51.75" customHeight="1" x14ac:dyDescent="0.25">
      <c r="A204" s="34"/>
      <c r="B204" s="35" t="s">
        <v>9</v>
      </c>
      <c r="C204" s="36" t="s">
        <v>10</v>
      </c>
      <c r="D204" s="36">
        <f>D203*0.15</f>
        <v>30.779999999999998</v>
      </c>
      <c r="E204" s="20"/>
    </row>
    <row r="205" spans="1:5" ht="15" x14ac:dyDescent="0.25">
      <c r="A205" s="31">
        <v>32</v>
      </c>
      <c r="B205" s="32" t="s">
        <v>3</v>
      </c>
      <c r="C205" s="31" t="s">
        <v>0</v>
      </c>
      <c r="D205" s="33">
        <f>D203</f>
        <v>205.2</v>
      </c>
      <c r="E205" s="31"/>
    </row>
    <row r="206" spans="1:5" ht="15" x14ac:dyDescent="0.25">
      <c r="A206" s="34"/>
      <c r="B206" s="35" t="s">
        <v>122</v>
      </c>
      <c r="C206" s="19" t="s">
        <v>0</v>
      </c>
      <c r="D206" s="36">
        <f>D205*1.02</f>
        <v>209.304</v>
      </c>
      <c r="E206" s="20"/>
    </row>
    <row r="207" spans="1:5" ht="48.75" customHeight="1" x14ac:dyDescent="0.25">
      <c r="A207" s="34"/>
      <c r="B207" s="35" t="s">
        <v>9</v>
      </c>
      <c r="C207" s="36" t="s">
        <v>10</v>
      </c>
      <c r="D207" s="36">
        <f>D205*0.15</f>
        <v>30.779999999999998</v>
      </c>
      <c r="E207" s="20"/>
    </row>
    <row r="208" spans="1:5" ht="15" x14ac:dyDescent="0.25">
      <c r="A208" s="40"/>
      <c r="B208" s="35" t="s">
        <v>135</v>
      </c>
      <c r="C208" s="36" t="s">
        <v>13</v>
      </c>
      <c r="D208" s="36">
        <f>D205*11.8</f>
        <v>2421.36</v>
      </c>
      <c r="E208" s="36" t="s">
        <v>138</v>
      </c>
    </row>
    <row r="209" spans="1:5" ht="15" x14ac:dyDescent="0.25">
      <c r="A209" s="34"/>
      <c r="B209" s="35" t="s">
        <v>180</v>
      </c>
      <c r="C209" s="36" t="s">
        <v>13</v>
      </c>
      <c r="D209" s="36">
        <f>D205*0.09</f>
        <v>18.468</v>
      </c>
      <c r="E209" s="36" t="s">
        <v>174</v>
      </c>
    </row>
    <row r="210" spans="1:5" ht="15" x14ac:dyDescent="0.25">
      <c r="A210" s="34"/>
      <c r="B210" s="35" t="s">
        <v>184</v>
      </c>
      <c r="C210" s="36" t="s">
        <v>98</v>
      </c>
      <c r="D210" s="36">
        <f>CEILING(D205*13,1)</f>
        <v>2668</v>
      </c>
      <c r="E210" s="20"/>
    </row>
    <row r="211" spans="1:5" ht="15" x14ac:dyDescent="0.25">
      <c r="A211" s="34"/>
      <c r="B211" s="35" t="s">
        <v>185</v>
      </c>
      <c r="C211" s="36" t="s">
        <v>98</v>
      </c>
      <c r="D211" s="36">
        <f>CEILING(D206*5,1)</f>
        <v>1047</v>
      </c>
      <c r="E211" s="20"/>
    </row>
    <row r="212" spans="1:5" ht="15" x14ac:dyDescent="0.25">
      <c r="A212" s="34"/>
      <c r="B212" s="35" t="s">
        <v>186</v>
      </c>
      <c r="C212" s="36" t="s">
        <v>98</v>
      </c>
      <c r="D212" s="36">
        <f>ROUNDUP(D205*20,0)</f>
        <v>4104</v>
      </c>
      <c r="E212" s="20"/>
    </row>
    <row r="213" spans="1:5" ht="15" x14ac:dyDescent="0.25">
      <c r="A213" s="37" t="s">
        <v>26</v>
      </c>
      <c r="B213" s="38"/>
      <c r="C213" s="38"/>
      <c r="D213" s="38"/>
      <c r="E213" s="39"/>
    </row>
    <row r="214" spans="1:5" ht="15" x14ac:dyDescent="0.25">
      <c r="A214" s="31">
        <v>33</v>
      </c>
      <c r="B214" s="32" t="s">
        <v>1</v>
      </c>
      <c r="C214" s="31" t="s">
        <v>0</v>
      </c>
      <c r="D214" s="33">
        <v>1062.8</v>
      </c>
      <c r="E214" s="31"/>
    </row>
    <row r="215" spans="1:5" ht="15" x14ac:dyDescent="0.25">
      <c r="A215" s="34"/>
      <c r="B215" s="35" t="s">
        <v>121</v>
      </c>
      <c r="C215" s="19" t="s">
        <v>0</v>
      </c>
      <c r="D215" s="36">
        <f>D214*1.02</f>
        <v>1084.056</v>
      </c>
      <c r="E215" s="20"/>
    </row>
    <row r="216" spans="1:5" ht="47.25" customHeight="1" x14ac:dyDescent="0.25">
      <c r="A216" s="34"/>
      <c r="B216" s="35" t="s">
        <v>9</v>
      </c>
      <c r="C216" s="36" t="s">
        <v>10</v>
      </c>
      <c r="D216" s="36">
        <f>D214*0.15</f>
        <v>159.41999999999999</v>
      </c>
      <c r="E216" s="20"/>
    </row>
    <row r="217" spans="1:5" ht="15" x14ac:dyDescent="0.25">
      <c r="A217" s="40"/>
      <c r="B217" s="35" t="s">
        <v>135</v>
      </c>
      <c r="C217" s="36" t="s">
        <v>13</v>
      </c>
      <c r="D217" s="36">
        <f>D214*7.5</f>
        <v>7971</v>
      </c>
      <c r="E217" s="36" t="s">
        <v>136</v>
      </c>
    </row>
    <row r="218" spans="1:5" ht="15" x14ac:dyDescent="0.25">
      <c r="A218" s="34"/>
      <c r="B218" s="35" t="s">
        <v>175</v>
      </c>
      <c r="C218" s="36" t="s">
        <v>13</v>
      </c>
      <c r="D218" s="36">
        <f>D214*0.09</f>
        <v>95.651999999999987</v>
      </c>
      <c r="E218" s="36" t="s">
        <v>174</v>
      </c>
    </row>
    <row r="219" spans="1:5" ht="15" x14ac:dyDescent="0.25">
      <c r="A219" s="34"/>
      <c r="B219" s="35" t="s">
        <v>184</v>
      </c>
      <c r="C219" s="36" t="s">
        <v>98</v>
      </c>
      <c r="D219" s="36">
        <f>CEILING(D214*7,1)</f>
        <v>7440</v>
      </c>
      <c r="E219" s="20"/>
    </row>
    <row r="220" spans="1:5" ht="15" x14ac:dyDescent="0.25">
      <c r="A220" s="34"/>
      <c r="B220" s="35" t="s">
        <v>185</v>
      </c>
      <c r="C220" s="36" t="s">
        <v>98</v>
      </c>
      <c r="D220" s="36">
        <f>CEILING(D215*3,1)</f>
        <v>3253</v>
      </c>
      <c r="E220" s="20"/>
    </row>
    <row r="221" spans="1:5" ht="15" x14ac:dyDescent="0.25">
      <c r="A221" s="34"/>
      <c r="B221" s="35" t="s">
        <v>186</v>
      </c>
      <c r="C221" s="36" t="s">
        <v>98</v>
      </c>
      <c r="D221" s="36">
        <f>ROUNDUP(D214*15,0)</f>
        <v>15942</v>
      </c>
      <c r="E221" s="20"/>
    </row>
    <row r="222" spans="1:5" ht="15" x14ac:dyDescent="0.25">
      <c r="A222" s="37" t="s">
        <v>27</v>
      </c>
      <c r="B222" s="38"/>
      <c r="C222" s="38"/>
      <c r="D222" s="38"/>
      <c r="E222" s="39"/>
    </row>
    <row r="223" spans="1:5" ht="15" x14ac:dyDescent="0.25">
      <c r="A223" s="31">
        <v>34</v>
      </c>
      <c r="B223" s="32" t="s">
        <v>28</v>
      </c>
      <c r="C223" s="31" t="s">
        <v>0</v>
      </c>
      <c r="D223" s="33">
        <v>348.6</v>
      </c>
      <c r="E223" s="31"/>
    </row>
    <row r="224" spans="1:5" ht="30" x14ac:dyDescent="0.25">
      <c r="A224" s="34"/>
      <c r="B224" s="35" t="s">
        <v>29</v>
      </c>
      <c r="C224" s="36" t="s">
        <v>0</v>
      </c>
      <c r="D224" s="36">
        <f>D223*1.02</f>
        <v>355.572</v>
      </c>
      <c r="E224" s="20"/>
    </row>
    <row r="225" spans="1:5" ht="15" x14ac:dyDescent="0.25">
      <c r="A225" s="34"/>
      <c r="B225" s="35" t="s">
        <v>30</v>
      </c>
      <c r="C225" s="36" t="s">
        <v>13</v>
      </c>
      <c r="D225" s="36">
        <f>D223*0.52</f>
        <v>181.27200000000002</v>
      </c>
      <c r="E225" s="20"/>
    </row>
    <row r="226" spans="1:5" ht="15" x14ac:dyDescent="0.25">
      <c r="A226" s="19"/>
      <c r="B226" s="35" t="s">
        <v>31</v>
      </c>
      <c r="C226" s="19" t="s">
        <v>13</v>
      </c>
      <c r="D226" s="41">
        <f>0.04*D223</f>
        <v>13.944000000000001</v>
      </c>
      <c r="E226" s="36" t="s">
        <v>181</v>
      </c>
    </row>
    <row r="227" spans="1:5" ht="15" x14ac:dyDescent="0.25">
      <c r="A227" s="37" t="s">
        <v>32</v>
      </c>
      <c r="B227" s="38"/>
      <c r="C227" s="38"/>
      <c r="D227" s="38"/>
      <c r="E227" s="39"/>
    </row>
    <row r="228" spans="1:5" ht="15" x14ac:dyDescent="0.25">
      <c r="A228" s="31">
        <v>35</v>
      </c>
      <c r="B228" s="32" t="s">
        <v>28</v>
      </c>
      <c r="C228" s="31" t="s">
        <v>0</v>
      </c>
      <c r="D228" s="33">
        <v>260.2</v>
      </c>
      <c r="E228" s="31"/>
    </row>
    <row r="229" spans="1:5" ht="30" x14ac:dyDescent="0.25">
      <c r="A229" s="34"/>
      <c r="B229" s="35" t="s">
        <v>33</v>
      </c>
      <c r="C229" s="36" t="s">
        <v>0</v>
      </c>
      <c r="D229" s="36">
        <f>D228*1.02</f>
        <v>265.404</v>
      </c>
      <c r="E229" s="20"/>
    </row>
    <row r="230" spans="1:5" ht="15" x14ac:dyDescent="0.25">
      <c r="A230" s="34"/>
      <c r="B230" s="35" t="s">
        <v>30</v>
      </c>
      <c r="C230" s="36" t="s">
        <v>13</v>
      </c>
      <c r="D230" s="36">
        <f>D228*0.52</f>
        <v>135.304</v>
      </c>
      <c r="E230" s="20"/>
    </row>
    <row r="231" spans="1:5" ht="15" x14ac:dyDescent="0.25">
      <c r="A231" s="19"/>
      <c r="B231" s="35" t="s">
        <v>31</v>
      </c>
      <c r="C231" s="19" t="s">
        <v>13</v>
      </c>
      <c r="D231" s="41">
        <f>0.04*D228</f>
        <v>10.407999999999999</v>
      </c>
      <c r="E231" s="36" t="s">
        <v>181</v>
      </c>
    </row>
    <row r="232" spans="1:5" ht="15" x14ac:dyDescent="0.25">
      <c r="A232" s="37" t="s">
        <v>34</v>
      </c>
      <c r="B232" s="38"/>
      <c r="C232" s="38"/>
      <c r="D232" s="38"/>
      <c r="E232" s="39"/>
    </row>
    <row r="233" spans="1:5" ht="15" x14ac:dyDescent="0.25">
      <c r="A233" s="31">
        <v>36</v>
      </c>
      <c r="B233" s="32" t="s">
        <v>28</v>
      </c>
      <c r="C233" s="31" t="s">
        <v>0</v>
      </c>
      <c r="D233" s="33">
        <v>20.6</v>
      </c>
      <c r="E233" s="31"/>
    </row>
    <row r="234" spans="1:5" ht="30" x14ac:dyDescent="0.25">
      <c r="A234" s="34"/>
      <c r="B234" s="35" t="s">
        <v>33</v>
      </c>
      <c r="C234" s="36" t="s">
        <v>0</v>
      </c>
      <c r="D234" s="36">
        <f>D233*1.02</f>
        <v>21.012</v>
      </c>
      <c r="E234" s="20"/>
    </row>
    <row r="235" spans="1:5" ht="15" x14ac:dyDescent="0.25">
      <c r="A235" s="34"/>
      <c r="B235" s="35" t="s">
        <v>30</v>
      </c>
      <c r="C235" s="36" t="s">
        <v>13</v>
      </c>
      <c r="D235" s="36">
        <f>D233*0.52</f>
        <v>10.712000000000002</v>
      </c>
      <c r="E235" s="20"/>
    </row>
    <row r="236" spans="1:5" ht="15" x14ac:dyDescent="0.25">
      <c r="A236" s="19"/>
      <c r="B236" s="35" t="s">
        <v>31</v>
      </c>
      <c r="C236" s="19" t="s">
        <v>13</v>
      </c>
      <c r="D236" s="41">
        <f>0.04*D233</f>
        <v>0.82400000000000007</v>
      </c>
      <c r="E236" s="36" t="s">
        <v>181</v>
      </c>
    </row>
    <row r="237" spans="1:5" ht="15" x14ac:dyDescent="0.25">
      <c r="A237" s="37" t="s">
        <v>35</v>
      </c>
      <c r="B237" s="38"/>
      <c r="C237" s="38"/>
      <c r="D237" s="38"/>
      <c r="E237" s="39"/>
    </row>
    <row r="238" spans="1:5" ht="15" x14ac:dyDescent="0.25">
      <c r="A238" s="31">
        <v>37</v>
      </c>
      <c r="B238" s="32" t="s">
        <v>28</v>
      </c>
      <c r="C238" s="31" t="s">
        <v>0</v>
      </c>
      <c r="D238" s="33">
        <v>371.2</v>
      </c>
      <c r="E238" s="31"/>
    </row>
    <row r="239" spans="1:5" ht="15" x14ac:dyDescent="0.25">
      <c r="A239" s="34"/>
      <c r="B239" s="35" t="s">
        <v>36</v>
      </c>
      <c r="C239" s="36" t="s">
        <v>0</v>
      </c>
      <c r="D239" s="36">
        <f>D238*1.02</f>
        <v>378.62399999999997</v>
      </c>
      <c r="E239" s="20"/>
    </row>
    <row r="240" spans="1:5" ht="15" x14ac:dyDescent="0.25">
      <c r="A240" s="34"/>
      <c r="B240" s="35" t="s">
        <v>30</v>
      </c>
      <c r="C240" s="36" t="s">
        <v>13</v>
      </c>
      <c r="D240" s="36">
        <f>D238*0.52</f>
        <v>193.024</v>
      </c>
      <c r="E240" s="19"/>
    </row>
    <row r="241" spans="1:5" ht="15" x14ac:dyDescent="0.25">
      <c r="A241" s="34"/>
      <c r="B241" s="35" t="s">
        <v>31</v>
      </c>
      <c r="C241" s="36" t="s">
        <v>13</v>
      </c>
      <c r="D241" s="41">
        <f>0.04*D238</f>
        <v>14.847999999999999</v>
      </c>
      <c r="E241" s="36" t="s">
        <v>181</v>
      </c>
    </row>
    <row r="242" spans="1:5" ht="15" x14ac:dyDescent="0.25">
      <c r="A242" s="37" t="s">
        <v>37</v>
      </c>
      <c r="B242" s="38"/>
      <c r="C242" s="38"/>
      <c r="D242" s="38"/>
      <c r="E242" s="39"/>
    </row>
    <row r="243" spans="1:5" ht="15" x14ac:dyDescent="0.25">
      <c r="A243" s="31">
        <v>38</v>
      </c>
      <c r="B243" s="32" t="s">
        <v>28</v>
      </c>
      <c r="C243" s="31" t="s">
        <v>0</v>
      </c>
      <c r="D243" s="33">
        <v>107.4</v>
      </c>
      <c r="E243" s="31"/>
    </row>
    <row r="244" spans="1:5" ht="15" x14ac:dyDescent="0.25">
      <c r="A244" s="34"/>
      <c r="B244" s="35" t="s">
        <v>38</v>
      </c>
      <c r="C244" s="36" t="s">
        <v>0</v>
      </c>
      <c r="D244" s="36">
        <f>D243*1.02</f>
        <v>109.548</v>
      </c>
      <c r="E244" s="20"/>
    </row>
    <row r="245" spans="1:5" ht="15" x14ac:dyDescent="0.25">
      <c r="A245" s="34"/>
      <c r="B245" s="35" t="s">
        <v>30</v>
      </c>
      <c r="C245" s="36" t="s">
        <v>13</v>
      </c>
      <c r="D245" s="36">
        <f>D243*0.52</f>
        <v>55.848000000000006</v>
      </c>
      <c r="E245" s="20"/>
    </row>
    <row r="246" spans="1:5" ht="15" x14ac:dyDescent="0.25">
      <c r="A246" s="34"/>
      <c r="B246" s="35" t="s">
        <v>31</v>
      </c>
      <c r="C246" s="36" t="s">
        <v>13</v>
      </c>
      <c r="D246" s="41">
        <f>0.04*D243</f>
        <v>4.2960000000000003</v>
      </c>
      <c r="E246" s="36" t="s">
        <v>181</v>
      </c>
    </row>
    <row r="247" spans="1:5" ht="15" x14ac:dyDescent="0.25">
      <c r="A247" s="37" t="s">
        <v>39</v>
      </c>
      <c r="B247" s="38"/>
      <c r="C247" s="38"/>
      <c r="D247" s="38"/>
      <c r="E247" s="39"/>
    </row>
    <row r="248" spans="1:5" ht="15" x14ac:dyDescent="0.25">
      <c r="A248" s="31">
        <v>39</v>
      </c>
      <c r="B248" s="32" t="s">
        <v>28</v>
      </c>
      <c r="C248" s="31" t="s">
        <v>0</v>
      </c>
      <c r="D248" s="33">
        <v>526.70000000000005</v>
      </c>
      <c r="E248" s="31"/>
    </row>
    <row r="249" spans="1:5" ht="15" x14ac:dyDescent="0.25">
      <c r="A249" s="34"/>
      <c r="B249" s="35" t="s">
        <v>40</v>
      </c>
      <c r="C249" s="36" t="s">
        <v>0</v>
      </c>
      <c r="D249" s="36">
        <f>D248*1.02</f>
        <v>537.23400000000004</v>
      </c>
      <c r="E249" s="20"/>
    </row>
    <row r="250" spans="1:5" ht="15" x14ac:dyDescent="0.25">
      <c r="A250" s="34"/>
      <c r="B250" s="35" t="s">
        <v>30</v>
      </c>
      <c r="C250" s="36" t="s">
        <v>13</v>
      </c>
      <c r="D250" s="36">
        <f>D248*0.52</f>
        <v>273.88400000000001</v>
      </c>
      <c r="E250" s="20"/>
    </row>
    <row r="251" spans="1:5" ht="15" x14ac:dyDescent="0.25">
      <c r="A251" s="34"/>
      <c r="B251" s="35" t="s">
        <v>31</v>
      </c>
      <c r="C251" s="36" t="s">
        <v>13</v>
      </c>
      <c r="D251" s="41">
        <f>0.04*D248</f>
        <v>21.068000000000001</v>
      </c>
      <c r="E251" s="19" t="s">
        <v>181</v>
      </c>
    </row>
    <row r="252" spans="1:5" ht="15" x14ac:dyDescent="0.25">
      <c r="A252" s="37" t="s">
        <v>41</v>
      </c>
      <c r="B252" s="38"/>
      <c r="C252" s="38"/>
      <c r="D252" s="38"/>
      <c r="E252" s="39"/>
    </row>
    <row r="253" spans="1:5" ht="15" x14ac:dyDescent="0.25">
      <c r="A253" s="31">
        <v>40</v>
      </c>
      <c r="B253" s="32" t="s">
        <v>28</v>
      </c>
      <c r="C253" s="31" t="s">
        <v>0</v>
      </c>
      <c r="D253" s="33">
        <v>45.1</v>
      </c>
      <c r="E253" s="31"/>
    </row>
    <row r="254" spans="1:5" ht="15" x14ac:dyDescent="0.25">
      <c r="A254" s="34"/>
      <c r="B254" s="35" t="s">
        <v>40</v>
      </c>
      <c r="C254" s="36" t="s">
        <v>0</v>
      </c>
      <c r="D254" s="36">
        <f>D253*1.02</f>
        <v>46.002000000000002</v>
      </c>
      <c r="E254" s="20"/>
    </row>
    <row r="255" spans="1:5" ht="15" x14ac:dyDescent="0.25">
      <c r="A255" s="34"/>
      <c r="B255" s="35" t="s">
        <v>30</v>
      </c>
      <c r="C255" s="36" t="s">
        <v>13</v>
      </c>
      <c r="D255" s="36">
        <f>D253*0.52</f>
        <v>23.452000000000002</v>
      </c>
      <c r="E255" s="20"/>
    </row>
    <row r="256" spans="1:5" ht="15" x14ac:dyDescent="0.25">
      <c r="A256" s="34"/>
      <c r="B256" s="35" t="s">
        <v>31</v>
      </c>
      <c r="C256" s="36" t="s">
        <v>13</v>
      </c>
      <c r="D256" s="41">
        <f>0.04*D253</f>
        <v>1.804</v>
      </c>
      <c r="E256" s="36" t="s">
        <v>181</v>
      </c>
    </row>
    <row r="257" spans="1:5" ht="15" x14ac:dyDescent="0.25">
      <c r="A257" s="37" t="s">
        <v>42</v>
      </c>
      <c r="B257" s="38"/>
      <c r="C257" s="38"/>
      <c r="D257" s="38"/>
      <c r="E257" s="39"/>
    </row>
    <row r="258" spans="1:5" ht="15" x14ac:dyDescent="0.25">
      <c r="A258" s="31">
        <v>41</v>
      </c>
      <c r="B258" s="32" t="s">
        <v>28</v>
      </c>
      <c r="C258" s="31" t="s">
        <v>0</v>
      </c>
      <c r="D258" s="33">
        <v>455.1</v>
      </c>
      <c r="E258" s="31"/>
    </row>
    <row r="259" spans="1:5" ht="15" x14ac:dyDescent="0.25">
      <c r="A259" s="34"/>
      <c r="B259" s="35" t="s">
        <v>43</v>
      </c>
      <c r="C259" s="36" t="s">
        <v>0</v>
      </c>
      <c r="D259" s="36">
        <f>D258*1.02</f>
        <v>464.20200000000006</v>
      </c>
      <c r="E259" s="20"/>
    </row>
    <row r="260" spans="1:5" ht="15" x14ac:dyDescent="0.25">
      <c r="A260" s="34"/>
      <c r="B260" s="35" t="s">
        <v>30</v>
      </c>
      <c r="C260" s="36" t="s">
        <v>13</v>
      </c>
      <c r="D260" s="36">
        <f>D258*0.52</f>
        <v>236.65200000000002</v>
      </c>
      <c r="E260" s="20"/>
    </row>
    <row r="261" spans="1:5" ht="15" x14ac:dyDescent="0.25">
      <c r="A261" s="34"/>
      <c r="B261" s="35" t="s">
        <v>31</v>
      </c>
      <c r="C261" s="36" t="s">
        <v>13</v>
      </c>
      <c r="D261" s="41">
        <f>0.04*D258</f>
        <v>18.204000000000001</v>
      </c>
      <c r="E261" s="36" t="s">
        <v>181</v>
      </c>
    </row>
    <row r="262" spans="1:5" ht="15" x14ac:dyDescent="0.25">
      <c r="A262" s="37" t="s">
        <v>44</v>
      </c>
      <c r="B262" s="38"/>
      <c r="C262" s="38"/>
      <c r="D262" s="38"/>
      <c r="E262" s="39"/>
    </row>
    <row r="263" spans="1:5" ht="15" x14ac:dyDescent="0.25">
      <c r="A263" s="31">
        <v>42</v>
      </c>
      <c r="B263" s="32" t="s">
        <v>28</v>
      </c>
      <c r="C263" s="31" t="s">
        <v>0</v>
      </c>
      <c r="D263" s="33">
        <v>811.6</v>
      </c>
      <c r="E263" s="31"/>
    </row>
    <row r="264" spans="1:5" ht="15" x14ac:dyDescent="0.25">
      <c r="A264" s="34"/>
      <c r="B264" s="35" t="s">
        <v>45</v>
      </c>
      <c r="C264" s="36" t="s">
        <v>0</v>
      </c>
      <c r="D264" s="36">
        <f>D263*1.02</f>
        <v>827.83199999999999</v>
      </c>
      <c r="E264" s="20"/>
    </row>
    <row r="265" spans="1:5" ht="15" x14ac:dyDescent="0.25">
      <c r="A265" s="34"/>
      <c r="B265" s="35" t="s">
        <v>30</v>
      </c>
      <c r="C265" s="36" t="s">
        <v>13</v>
      </c>
      <c r="D265" s="36">
        <f>D263*0.52</f>
        <v>422.03200000000004</v>
      </c>
      <c r="E265" s="20"/>
    </row>
    <row r="266" spans="1:5" ht="15" x14ac:dyDescent="0.25">
      <c r="A266" s="34"/>
      <c r="B266" s="35" t="s">
        <v>31</v>
      </c>
      <c r="C266" s="36" t="s">
        <v>13</v>
      </c>
      <c r="D266" s="41">
        <f>0.04*D263</f>
        <v>32.463999999999999</v>
      </c>
      <c r="E266" s="36" t="s">
        <v>181</v>
      </c>
    </row>
    <row r="267" spans="1:5" ht="15" x14ac:dyDescent="0.25">
      <c r="A267" s="37" t="s">
        <v>46</v>
      </c>
      <c r="B267" s="38"/>
      <c r="C267" s="38"/>
      <c r="D267" s="38"/>
      <c r="E267" s="39"/>
    </row>
    <row r="268" spans="1:5" ht="30" x14ac:dyDescent="0.25">
      <c r="A268" s="31">
        <v>43</v>
      </c>
      <c r="B268" s="32" t="s">
        <v>2</v>
      </c>
      <c r="C268" s="31" t="s">
        <v>0</v>
      </c>
      <c r="D268" s="33">
        <v>128.30000000000001</v>
      </c>
      <c r="E268" s="31"/>
    </row>
    <row r="269" spans="1:5" ht="55.5" customHeight="1" x14ac:dyDescent="0.25">
      <c r="A269" s="34"/>
      <c r="B269" s="35" t="s">
        <v>9</v>
      </c>
      <c r="C269" s="36" t="s">
        <v>10</v>
      </c>
      <c r="D269" s="36">
        <f>D268*0.15</f>
        <v>19.245000000000001</v>
      </c>
      <c r="E269" s="20"/>
    </row>
    <row r="270" spans="1:5" ht="30" x14ac:dyDescent="0.25">
      <c r="A270" s="31">
        <v>44</v>
      </c>
      <c r="B270" s="32" t="s">
        <v>47</v>
      </c>
      <c r="C270" s="31" t="s">
        <v>0</v>
      </c>
      <c r="D270" s="33">
        <v>128.30000000000001</v>
      </c>
      <c r="E270" s="31"/>
    </row>
    <row r="271" spans="1:5" ht="25.5" customHeight="1" x14ac:dyDescent="0.25">
      <c r="A271" s="34"/>
      <c r="B271" s="35" t="s">
        <v>120</v>
      </c>
      <c r="C271" s="19" t="s">
        <v>0</v>
      </c>
      <c r="D271" s="36">
        <f>D270*1.02</f>
        <v>130.86600000000001</v>
      </c>
      <c r="E271" s="20"/>
    </row>
    <row r="272" spans="1:5" ht="15" x14ac:dyDescent="0.25">
      <c r="A272" s="37" t="s">
        <v>139</v>
      </c>
      <c r="B272" s="38"/>
      <c r="C272" s="38"/>
      <c r="D272" s="38"/>
      <c r="E272" s="39"/>
    </row>
    <row r="273" spans="1:5" ht="15" x14ac:dyDescent="0.25">
      <c r="A273" s="31">
        <v>45</v>
      </c>
      <c r="B273" s="32" t="s">
        <v>133</v>
      </c>
      <c r="C273" s="31" t="s">
        <v>62</v>
      </c>
      <c r="D273" s="33">
        <f>SUM(D274:D275)</f>
        <v>908</v>
      </c>
      <c r="E273" s="31"/>
    </row>
    <row r="274" spans="1:5" ht="21" customHeight="1" x14ac:dyDescent="0.25">
      <c r="A274" s="22"/>
      <c r="B274" s="42" t="s">
        <v>182</v>
      </c>
      <c r="C274" s="22" t="s">
        <v>62</v>
      </c>
      <c r="D274" s="43">
        <v>469</v>
      </c>
      <c r="E274" s="22" t="s">
        <v>134</v>
      </c>
    </row>
    <row r="275" spans="1:5" ht="20.25" customHeight="1" x14ac:dyDescent="0.25">
      <c r="A275" s="44"/>
      <c r="B275" s="44" t="s">
        <v>183</v>
      </c>
      <c r="C275" s="22" t="s">
        <v>62</v>
      </c>
      <c r="D275" s="43">
        <v>439</v>
      </c>
      <c r="E275" s="22" t="s">
        <v>134</v>
      </c>
    </row>
    <row r="276" spans="1:5" ht="30" x14ac:dyDescent="0.25">
      <c r="A276" s="31">
        <v>46</v>
      </c>
      <c r="B276" s="32" t="s">
        <v>63</v>
      </c>
      <c r="C276" s="31" t="s">
        <v>62</v>
      </c>
      <c r="D276" s="33">
        <v>1384</v>
      </c>
      <c r="E276" s="31"/>
    </row>
    <row r="277" spans="1:5" ht="15" x14ac:dyDescent="0.25">
      <c r="A277" s="34"/>
      <c r="B277" s="44" t="s">
        <v>132</v>
      </c>
      <c r="C277" s="36" t="s">
        <v>62</v>
      </c>
      <c r="D277" s="45">
        <f>D276</f>
        <v>1384</v>
      </c>
      <c r="E277" s="22" t="s">
        <v>134</v>
      </c>
    </row>
    <row r="278" spans="1:5" ht="15" x14ac:dyDescent="0.25">
      <c r="A278" s="46"/>
      <c r="B278" s="47"/>
      <c r="C278" s="21"/>
      <c r="D278" s="21"/>
      <c r="E278" s="21"/>
    </row>
    <row r="279" spans="1:5" ht="20.25" customHeight="1" x14ac:dyDescent="0.25">
      <c r="A279" s="85" t="s">
        <v>206</v>
      </c>
      <c r="B279" s="85"/>
    </row>
    <row r="280" spans="1:5" ht="33.75" customHeight="1" x14ac:dyDescent="0.25">
      <c r="A280" s="86" t="s">
        <v>207</v>
      </c>
      <c r="B280" s="86"/>
      <c r="C280" s="86"/>
      <c r="D280" s="86"/>
      <c r="E280" s="86"/>
    </row>
    <row r="281" spans="1:5" ht="38.25" customHeight="1" x14ac:dyDescent="0.25">
      <c r="A281" s="84"/>
      <c r="B281" s="84"/>
      <c r="C281" s="84"/>
      <c r="D281" s="84"/>
      <c r="E281" s="84"/>
    </row>
  </sheetData>
  <mergeCells count="37">
    <mergeCell ref="A280:E280"/>
    <mergeCell ref="A4:E4"/>
    <mergeCell ref="A5:E5"/>
    <mergeCell ref="A279:B279"/>
    <mergeCell ref="A202:E202"/>
    <mergeCell ref="A222:E222"/>
    <mergeCell ref="A227:E227"/>
    <mergeCell ref="A267:E267"/>
    <mergeCell ref="A56:E56"/>
    <mergeCell ref="A65:E65"/>
    <mergeCell ref="A74:E74"/>
    <mergeCell ref="A105:E105"/>
    <mergeCell ref="A96:E96"/>
    <mergeCell ref="A9:E9"/>
    <mergeCell ref="A18:E18"/>
    <mergeCell ref="A8:E8"/>
    <mergeCell ref="A232:E232"/>
    <mergeCell ref="A262:E262"/>
    <mergeCell ref="A213:E213"/>
    <mergeCell ref="A118:E118"/>
    <mergeCell ref="A131:E131"/>
    <mergeCell ref="A175:E175"/>
    <mergeCell ref="A27:E27"/>
    <mergeCell ref="A36:E36"/>
    <mergeCell ref="A47:E47"/>
    <mergeCell ref="A153:E153"/>
    <mergeCell ref="A272:E272"/>
    <mergeCell ref="A237:E237"/>
    <mergeCell ref="A242:E242"/>
    <mergeCell ref="A247:E247"/>
    <mergeCell ref="A252:E252"/>
    <mergeCell ref="A257:E257"/>
    <mergeCell ref="A87:E87"/>
    <mergeCell ref="A140:E140"/>
    <mergeCell ref="A166:E166"/>
    <mergeCell ref="A184:E184"/>
    <mergeCell ref="A193:E1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G12" sqref="G12"/>
    </sheetView>
  </sheetViews>
  <sheetFormatPr defaultRowHeight="15.75" x14ac:dyDescent="0.25"/>
  <cols>
    <col min="1" max="1" width="13.42578125" style="11" customWidth="1"/>
    <col min="2" max="2" width="67.42578125" style="14" customWidth="1"/>
    <col min="3" max="3" width="11.85546875" style="13" customWidth="1"/>
    <col min="4" max="4" width="20.28515625" style="11" bestFit="1" customWidth="1"/>
    <col min="5" max="5" width="40.42578125" style="11" customWidth="1"/>
  </cols>
  <sheetData>
    <row r="1" spans="1:5" s="50" customFormat="1" x14ac:dyDescent="0.25">
      <c r="A1" s="11"/>
      <c r="B1" s="14"/>
      <c r="C1" s="13"/>
      <c r="D1" s="11"/>
      <c r="E1" s="49" t="s">
        <v>204</v>
      </c>
    </row>
    <row r="2" spans="1:5" s="50" customFormat="1" x14ac:dyDescent="0.25">
      <c r="A2" s="11"/>
      <c r="B2" s="14"/>
      <c r="C2" s="13"/>
      <c r="D2" s="11"/>
      <c r="E2" s="11"/>
    </row>
    <row r="3" spans="1:5" s="50" customFormat="1" ht="15.75" customHeight="1" x14ac:dyDescent="0.25">
      <c r="A3" s="48" t="s">
        <v>201</v>
      </c>
      <c r="B3" s="48"/>
      <c r="C3" s="48"/>
      <c r="D3" s="48"/>
      <c r="E3" s="48"/>
    </row>
    <row r="4" spans="1:5" s="50" customFormat="1" ht="15.75" customHeight="1" x14ac:dyDescent="0.25">
      <c r="A4" s="48"/>
      <c r="B4" s="48"/>
      <c r="C4" s="48"/>
      <c r="D4" s="48"/>
      <c r="E4" s="48"/>
    </row>
    <row r="5" spans="1:5" ht="15.75" customHeight="1" x14ac:dyDescent="0.25">
      <c r="A5" s="48" t="s">
        <v>202</v>
      </c>
      <c r="B5" s="48"/>
      <c r="C5" s="48"/>
      <c r="D5" s="48"/>
      <c r="E5" s="48"/>
    </row>
    <row r="6" spans="1:5" x14ac:dyDescent="0.25">
      <c r="A6" s="9"/>
      <c r="B6" s="10"/>
      <c r="C6" s="9"/>
      <c r="D6" s="9"/>
    </row>
    <row r="7" spans="1:5" ht="30" x14ac:dyDescent="0.25">
      <c r="A7" s="54" t="s">
        <v>160</v>
      </c>
      <c r="B7" s="54" t="s">
        <v>127</v>
      </c>
      <c r="C7" s="54" t="s">
        <v>128</v>
      </c>
      <c r="D7" s="54" t="s">
        <v>129</v>
      </c>
      <c r="E7" s="54" t="s">
        <v>130</v>
      </c>
    </row>
    <row r="8" spans="1:5" ht="15" x14ac:dyDescent="0.25">
      <c r="A8" s="23" t="s">
        <v>172</v>
      </c>
      <c r="B8" s="23"/>
      <c r="C8" s="23"/>
      <c r="D8" s="23"/>
      <c r="E8" s="23"/>
    </row>
    <row r="9" spans="1:5" ht="15" x14ac:dyDescent="0.25">
      <c r="A9" s="23" t="s">
        <v>64</v>
      </c>
      <c r="B9" s="23"/>
      <c r="C9" s="23"/>
      <c r="D9" s="23"/>
      <c r="E9" s="23"/>
    </row>
    <row r="10" spans="1:5" ht="15" x14ac:dyDescent="0.25">
      <c r="A10" s="23" t="s">
        <v>125</v>
      </c>
      <c r="B10" s="23"/>
      <c r="C10" s="23"/>
      <c r="D10" s="23"/>
      <c r="E10" s="23"/>
    </row>
    <row r="11" spans="1:5" ht="30" x14ac:dyDescent="0.25">
      <c r="A11" s="59">
        <v>1</v>
      </c>
      <c r="B11" s="58" t="s">
        <v>65</v>
      </c>
      <c r="C11" s="59" t="s">
        <v>0</v>
      </c>
      <c r="D11" s="59">
        <v>968.1</v>
      </c>
      <c r="E11" s="59"/>
    </row>
    <row r="12" spans="1:5" ht="60" x14ac:dyDescent="0.25">
      <c r="A12" s="55"/>
      <c r="B12" s="60" t="s">
        <v>9</v>
      </c>
      <c r="C12" s="55" t="s">
        <v>10</v>
      </c>
      <c r="D12" s="55">
        <f>0.15*D11</f>
        <v>145.215</v>
      </c>
      <c r="E12" s="55"/>
    </row>
    <row r="13" spans="1:5" ht="30" x14ac:dyDescent="0.25">
      <c r="A13" s="59">
        <v>2</v>
      </c>
      <c r="B13" s="58" t="s">
        <v>66</v>
      </c>
      <c r="C13" s="59" t="s">
        <v>0</v>
      </c>
      <c r="D13" s="59">
        <f>D11</f>
        <v>968.1</v>
      </c>
      <c r="E13" s="59"/>
    </row>
    <row r="14" spans="1:5" ht="60" x14ac:dyDescent="0.25">
      <c r="A14" s="55"/>
      <c r="B14" s="60" t="s">
        <v>9</v>
      </c>
      <c r="C14" s="55" t="s">
        <v>10</v>
      </c>
      <c r="D14" s="55">
        <f>0.15*D13</f>
        <v>145.215</v>
      </c>
      <c r="E14" s="55"/>
    </row>
    <row r="15" spans="1:5" ht="30" x14ac:dyDescent="0.25">
      <c r="A15" s="55"/>
      <c r="B15" s="60" t="s">
        <v>148</v>
      </c>
      <c r="C15" s="55" t="s">
        <v>13</v>
      </c>
      <c r="D15" s="55">
        <f>D13*0.159</f>
        <v>153.92789999999999</v>
      </c>
      <c r="E15" s="56" t="s">
        <v>150</v>
      </c>
    </row>
    <row r="16" spans="1:5" ht="15" x14ac:dyDescent="0.25">
      <c r="A16" s="66" t="s">
        <v>67</v>
      </c>
      <c r="B16" s="67"/>
      <c r="C16" s="67"/>
      <c r="D16" s="67"/>
      <c r="E16" s="68"/>
    </row>
    <row r="17" spans="1:5" ht="15" x14ac:dyDescent="0.25">
      <c r="A17" s="66" t="s">
        <v>68</v>
      </c>
      <c r="B17" s="67"/>
      <c r="C17" s="67"/>
      <c r="D17" s="67"/>
      <c r="E17" s="68"/>
    </row>
    <row r="18" spans="1:5" ht="30" x14ac:dyDescent="0.25">
      <c r="A18" s="59">
        <v>3</v>
      </c>
      <c r="B18" s="58" t="s">
        <v>65</v>
      </c>
      <c r="C18" s="59" t="s">
        <v>0</v>
      </c>
      <c r="D18" s="59">
        <v>981.3</v>
      </c>
      <c r="E18" s="59"/>
    </row>
    <row r="19" spans="1:5" ht="15" x14ac:dyDescent="0.25">
      <c r="A19" s="55"/>
      <c r="B19" s="60" t="s">
        <v>69</v>
      </c>
      <c r="C19" s="55" t="s">
        <v>10</v>
      </c>
      <c r="D19" s="55">
        <f>0.15*D18</f>
        <v>147.19499999999999</v>
      </c>
      <c r="E19" s="55"/>
    </row>
    <row r="20" spans="1:5" ht="45" x14ac:dyDescent="0.25">
      <c r="A20" s="59">
        <v>4</v>
      </c>
      <c r="B20" s="58" t="s">
        <v>70</v>
      </c>
      <c r="C20" s="59" t="s">
        <v>0</v>
      </c>
      <c r="D20" s="59">
        <f>D18</f>
        <v>981.3</v>
      </c>
      <c r="E20" s="59"/>
    </row>
    <row r="21" spans="1:5" ht="30" x14ac:dyDescent="0.25">
      <c r="A21" s="63"/>
      <c r="B21" s="64" t="s">
        <v>149</v>
      </c>
      <c r="C21" s="63" t="s">
        <v>13</v>
      </c>
      <c r="D21" s="63">
        <f>D20*0.26</f>
        <v>255.13800000000001</v>
      </c>
      <c r="E21" s="57" t="s">
        <v>151</v>
      </c>
    </row>
    <row r="22" spans="1:5" ht="15" x14ac:dyDescent="0.25">
      <c r="A22" s="66" t="s">
        <v>71</v>
      </c>
      <c r="B22" s="67"/>
      <c r="C22" s="67"/>
      <c r="D22" s="67"/>
      <c r="E22" s="68"/>
    </row>
    <row r="23" spans="1:5" ht="15" x14ac:dyDescent="0.25">
      <c r="A23" s="66" t="s">
        <v>72</v>
      </c>
      <c r="B23" s="67"/>
      <c r="C23" s="67"/>
      <c r="D23" s="67"/>
      <c r="E23" s="68"/>
    </row>
    <row r="24" spans="1:5" ht="30" x14ac:dyDescent="0.25">
      <c r="A24" s="59">
        <v>5</v>
      </c>
      <c r="B24" s="58" t="s">
        <v>65</v>
      </c>
      <c r="C24" s="59" t="s">
        <v>0</v>
      </c>
      <c r="D24" s="59">
        <v>1793.1</v>
      </c>
      <c r="E24" s="59"/>
    </row>
    <row r="25" spans="1:5" ht="60" x14ac:dyDescent="0.25">
      <c r="A25" s="55"/>
      <c r="B25" s="60" t="s">
        <v>9</v>
      </c>
      <c r="C25" s="55" t="s">
        <v>10</v>
      </c>
      <c r="D25" s="55">
        <f>0.15*D24</f>
        <v>268.96499999999997</v>
      </c>
      <c r="E25" s="55"/>
    </row>
    <row r="26" spans="1:5" ht="30" x14ac:dyDescent="0.25">
      <c r="A26" s="59">
        <v>6</v>
      </c>
      <c r="B26" s="58" t="s">
        <v>66</v>
      </c>
      <c r="C26" s="59" t="s">
        <v>0</v>
      </c>
      <c r="D26" s="59">
        <f>D24</f>
        <v>1793.1</v>
      </c>
      <c r="E26" s="59"/>
    </row>
    <row r="27" spans="1:5" ht="60" x14ac:dyDescent="0.25">
      <c r="A27" s="55"/>
      <c r="B27" s="60" t="s">
        <v>9</v>
      </c>
      <c r="C27" s="55" t="s">
        <v>10</v>
      </c>
      <c r="D27" s="55">
        <f>0.15*D26</f>
        <v>268.96499999999997</v>
      </c>
      <c r="E27" s="55"/>
    </row>
    <row r="28" spans="1:5" ht="30" x14ac:dyDescent="0.25">
      <c r="A28" s="55"/>
      <c r="B28" s="60" t="s">
        <v>152</v>
      </c>
      <c r="C28" s="55" t="s">
        <v>13</v>
      </c>
      <c r="D28" s="55">
        <f>D26*0.159</f>
        <v>285.10289999999998</v>
      </c>
      <c r="E28" s="56" t="s">
        <v>150</v>
      </c>
    </row>
    <row r="29" spans="1:5" ht="15" x14ac:dyDescent="0.25">
      <c r="A29" s="66" t="s">
        <v>73</v>
      </c>
      <c r="B29" s="67"/>
      <c r="C29" s="67"/>
      <c r="D29" s="67"/>
      <c r="E29" s="68"/>
    </row>
    <row r="30" spans="1:5" ht="15" x14ac:dyDescent="0.25">
      <c r="A30" s="66" t="s">
        <v>74</v>
      </c>
      <c r="B30" s="67"/>
      <c r="C30" s="67"/>
      <c r="D30" s="67"/>
      <c r="E30" s="68"/>
    </row>
    <row r="31" spans="1:5" ht="30" x14ac:dyDescent="0.25">
      <c r="A31" s="59">
        <v>7</v>
      </c>
      <c r="B31" s="58" t="s">
        <v>65</v>
      </c>
      <c r="C31" s="59" t="s">
        <v>0</v>
      </c>
      <c r="D31" s="59">
        <f>794.4</f>
        <v>794.4</v>
      </c>
      <c r="E31" s="59"/>
    </row>
    <row r="32" spans="1:5" ht="15" x14ac:dyDescent="0.25">
      <c r="A32" s="55"/>
      <c r="B32" s="60" t="s">
        <v>69</v>
      </c>
      <c r="C32" s="55" t="s">
        <v>10</v>
      </c>
      <c r="D32" s="55">
        <f>0.15*D31</f>
        <v>119.16</v>
      </c>
      <c r="E32" s="55"/>
    </row>
    <row r="33" spans="1:5" ht="45" x14ac:dyDescent="0.25">
      <c r="A33" s="59">
        <v>8</v>
      </c>
      <c r="B33" s="58" t="s">
        <v>70</v>
      </c>
      <c r="C33" s="59" t="s">
        <v>0</v>
      </c>
      <c r="D33" s="59">
        <f>D31</f>
        <v>794.4</v>
      </c>
      <c r="E33" s="59"/>
    </row>
    <row r="34" spans="1:5" ht="30" x14ac:dyDescent="0.25">
      <c r="A34" s="63"/>
      <c r="B34" s="64" t="s">
        <v>153</v>
      </c>
      <c r="C34" s="63" t="s">
        <v>13</v>
      </c>
      <c r="D34" s="63">
        <f>D33*0.26</f>
        <v>206.54400000000001</v>
      </c>
      <c r="E34" s="57" t="s">
        <v>151</v>
      </c>
    </row>
    <row r="35" spans="1:5" ht="15" x14ac:dyDescent="0.25">
      <c r="A35" s="59">
        <v>9</v>
      </c>
      <c r="B35" s="58" t="s">
        <v>75</v>
      </c>
      <c r="C35" s="59" t="s">
        <v>0</v>
      </c>
      <c r="D35" s="59">
        <f>D31</f>
        <v>794.4</v>
      </c>
      <c r="E35" s="59"/>
    </row>
    <row r="36" spans="1:5" ht="30" x14ac:dyDescent="0.25">
      <c r="A36" s="55"/>
      <c r="B36" s="60" t="s">
        <v>76</v>
      </c>
      <c r="C36" s="55" t="s">
        <v>0</v>
      </c>
      <c r="D36" s="55">
        <f>1.03*D35</f>
        <v>818.23199999999997</v>
      </c>
      <c r="E36" s="55"/>
    </row>
    <row r="37" spans="1:5" ht="15" x14ac:dyDescent="0.25">
      <c r="A37" s="66" t="s">
        <v>77</v>
      </c>
      <c r="B37" s="67"/>
      <c r="C37" s="67"/>
      <c r="D37" s="67"/>
      <c r="E37" s="68"/>
    </row>
    <row r="38" spans="1:5" ht="15" x14ac:dyDescent="0.25">
      <c r="A38" s="66" t="s">
        <v>74</v>
      </c>
      <c r="B38" s="67"/>
      <c r="C38" s="67"/>
      <c r="D38" s="67"/>
      <c r="E38" s="68"/>
    </row>
    <row r="39" spans="1:5" ht="30" x14ac:dyDescent="0.25">
      <c r="A39" s="59">
        <v>10</v>
      </c>
      <c r="B39" s="58" t="s">
        <v>65</v>
      </c>
      <c r="C39" s="59" t="s">
        <v>0</v>
      </c>
      <c r="D39" s="59">
        <v>188.6</v>
      </c>
      <c r="E39" s="59"/>
    </row>
    <row r="40" spans="1:5" ht="60" x14ac:dyDescent="0.25">
      <c r="A40" s="55"/>
      <c r="B40" s="60" t="s">
        <v>9</v>
      </c>
      <c r="C40" s="55" t="s">
        <v>10</v>
      </c>
      <c r="D40" s="55">
        <f>0.15*D39</f>
        <v>28.29</v>
      </c>
      <c r="E40" s="55"/>
    </row>
    <row r="41" spans="1:5" ht="30" x14ac:dyDescent="0.25">
      <c r="A41" s="59">
        <v>11</v>
      </c>
      <c r="B41" s="58" t="s">
        <v>66</v>
      </c>
      <c r="C41" s="59" t="s">
        <v>0</v>
      </c>
      <c r="D41" s="59">
        <f>D39</f>
        <v>188.6</v>
      </c>
      <c r="E41" s="59"/>
    </row>
    <row r="42" spans="1:5" ht="60" x14ac:dyDescent="0.25">
      <c r="A42" s="55"/>
      <c r="B42" s="60" t="s">
        <v>9</v>
      </c>
      <c r="C42" s="55" t="s">
        <v>10</v>
      </c>
      <c r="D42" s="55">
        <f>0.15*D41</f>
        <v>28.29</v>
      </c>
      <c r="E42" s="55"/>
    </row>
    <row r="43" spans="1:5" ht="30" x14ac:dyDescent="0.25">
      <c r="A43" s="55"/>
      <c r="B43" s="60" t="s">
        <v>154</v>
      </c>
      <c r="C43" s="55" t="s">
        <v>13</v>
      </c>
      <c r="D43" s="55">
        <f>D41*0.159</f>
        <v>29.987400000000001</v>
      </c>
      <c r="E43" s="56" t="s">
        <v>150</v>
      </c>
    </row>
    <row r="44" spans="1:5" ht="15" x14ac:dyDescent="0.25">
      <c r="A44" s="59">
        <v>12</v>
      </c>
      <c r="B44" s="58" t="s">
        <v>75</v>
      </c>
      <c r="C44" s="59" t="s">
        <v>0</v>
      </c>
      <c r="D44" s="59">
        <f>D39</f>
        <v>188.6</v>
      </c>
      <c r="E44" s="59"/>
    </row>
    <row r="45" spans="1:5" ht="30" x14ac:dyDescent="0.25">
      <c r="A45" s="55"/>
      <c r="B45" s="60" t="s">
        <v>76</v>
      </c>
      <c r="C45" s="55" t="s">
        <v>0</v>
      </c>
      <c r="D45" s="55">
        <f>D44*1.03</f>
        <v>194.25800000000001</v>
      </c>
      <c r="E45" s="55"/>
    </row>
    <row r="46" spans="1:5" ht="15" x14ac:dyDescent="0.25">
      <c r="A46" s="66" t="s">
        <v>78</v>
      </c>
      <c r="B46" s="67"/>
      <c r="C46" s="67"/>
      <c r="D46" s="67"/>
      <c r="E46" s="68"/>
    </row>
    <row r="47" spans="1:5" ht="15" x14ac:dyDescent="0.25">
      <c r="A47" s="66" t="s">
        <v>74</v>
      </c>
      <c r="B47" s="67"/>
      <c r="C47" s="67"/>
      <c r="D47" s="67"/>
      <c r="E47" s="68"/>
    </row>
    <row r="48" spans="1:5" ht="30" x14ac:dyDescent="0.25">
      <c r="A48" s="59">
        <v>13</v>
      </c>
      <c r="B48" s="58" t="s">
        <v>79</v>
      </c>
      <c r="C48" s="59" t="s">
        <v>0</v>
      </c>
      <c r="D48" s="59">
        <v>902.6</v>
      </c>
      <c r="E48" s="59"/>
    </row>
    <row r="49" spans="1:5" ht="30" x14ac:dyDescent="0.25">
      <c r="A49" s="59">
        <v>14</v>
      </c>
      <c r="B49" s="58" t="s">
        <v>65</v>
      </c>
      <c r="C49" s="59" t="s">
        <v>0</v>
      </c>
      <c r="D49" s="59">
        <f>D48</f>
        <v>902.6</v>
      </c>
      <c r="E49" s="59"/>
    </row>
    <row r="50" spans="1:5" ht="60" x14ac:dyDescent="0.25">
      <c r="A50" s="55"/>
      <c r="B50" s="60" t="s">
        <v>9</v>
      </c>
      <c r="C50" s="55" t="s">
        <v>10</v>
      </c>
      <c r="D50" s="55">
        <f>0.15*D49</f>
        <v>135.38999999999999</v>
      </c>
      <c r="E50" s="55"/>
    </row>
    <row r="51" spans="1:5" ht="30" x14ac:dyDescent="0.25">
      <c r="A51" s="59">
        <v>15</v>
      </c>
      <c r="B51" s="58" t="s">
        <v>126</v>
      </c>
      <c r="C51" s="59" t="s">
        <v>0</v>
      </c>
      <c r="D51" s="59">
        <f>D48</f>
        <v>902.6</v>
      </c>
      <c r="E51" s="59"/>
    </row>
    <row r="52" spans="1:5" ht="60" x14ac:dyDescent="0.25">
      <c r="A52" s="55"/>
      <c r="B52" s="60" t="s">
        <v>9</v>
      </c>
      <c r="C52" s="55" t="s">
        <v>10</v>
      </c>
      <c r="D52" s="55">
        <f>0.15*D51</f>
        <v>135.38999999999999</v>
      </c>
      <c r="E52" s="55"/>
    </row>
    <row r="53" spans="1:5" ht="30" x14ac:dyDescent="0.25">
      <c r="A53" s="55"/>
      <c r="B53" s="60" t="s">
        <v>155</v>
      </c>
      <c r="C53" s="55" t="s">
        <v>13</v>
      </c>
      <c r="D53" s="55">
        <f>D51*0.159</f>
        <v>143.51340000000002</v>
      </c>
      <c r="E53" s="56" t="s">
        <v>150</v>
      </c>
    </row>
    <row r="54" spans="1:5" ht="15" x14ac:dyDescent="0.25">
      <c r="A54" s="59">
        <v>16</v>
      </c>
      <c r="B54" s="58" t="s">
        <v>75</v>
      </c>
      <c r="C54" s="59" t="s">
        <v>0</v>
      </c>
      <c r="D54" s="59">
        <f>D48</f>
        <v>902.6</v>
      </c>
      <c r="E54" s="59"/>
    </row>
    <row r="55" spans="1:5" ht="30" x14ac:dyDescent="0.25">
      <c r="A55" s="55"/>
      <c r="B55" s="60" t="s">
        <v>76</v>
      </c>
      <c r="C55" s="55" t="s">
        <v>0</v>
      </c>
      <c r="D55" s="55">
        <f>D54*1.03</f>
        <v>929.678</v>
      </c>
      <c r="E55" s="55"/>
    </row>
    <row r="56" spans="1:5" ht="15" x14ac:dyDescent="0.25">
      <c r="A56" s="66" t="s">
        <v>80</v>
      </c>
      <c r="B56" s="67"/>
      <c r="C56" s="67"/>
      <c r="D56" s="67"/>
      <c r="E56" s="68"/>
    </row>
    <row r="57" spans="1:5" ht="15" x14ac:dyDescent="0.25">
      <c r="A57" s="66" t="s">
        <v>81</v>
      </c>
      <c r="B57" s="67"/>
      <c r="C57" s="67"/>
      <c r="D57" s="67"/>
      <c r="E57" s="68"/>
    </row>
    <row r="58" spans="1:5" ht="15" x14ac:dyDescent="0.25">
      <c r="A58" s="59">
        <v>17</v>
      </c>
      <c r="B58" s="58" t="s">
        <v>82</v>
      </c>
      <c r="C58" s="59" t="s">
        <v>0</v>
      </c>
      <c r="D58" s="59">
        <v>553.6</v>
      </c>
      <c r="E58" s="59"/>
    </row>
    <row r="59" spans="1:5" ht="30" x14ac:dyDescent="0.25">
      <c r="A59" s="55"/>
      <c r="B59" s="60" t="s">
        <v>83</v>
      </c>
      <c r="C59" s="55" t="s">
        <v>0</v>
      </c>
      <c r="D59" s="55">
        <f>D58*1.03</f>
        <v>570.20800000000008</v>
      </c>
      <c r="E59" s="55"/>
    </row>
    <row r="60" spans="1:5" ht="15" x14ac:dyDescent="0.25">
      <c r="A60" s="66" t="s">
        <v>84</v>
      </c>
      <c r="B60" s="67"/>
      <c r="C60" s="67"/>
      <c r="D60" s="67"/>
      <c r="E60" s="68"/>
    </row>
    <row r="61" spans="1:5" ht="15" customHeight="1" x14ac:dyDescent="0.25">
      <c r="A61" s="66" t="s">
        <v>85</v>
      </c>
      <c r="B61" s="67"/>
      <c r="C61" s="67"/>
      <c r="D61" s="67"/>
      <c r="E61" s="68"/>
    </row>
    <row r="62" spans="1:5" ht="30" x14ac:dyDescent="0.25">
      <c r="A62" s="59">
        <v>18</v>
      </c>
      <c r="B62" s="58" t="s">
        <v>86</v>
      </c>
      <c r="C62" s="59" t="s">
        <v>0</v>
      </c>
      <c r="D62" s="59">
        <v>157.5</v>
      </c>
      <c r="E62" s="59"/>
    </row>
    <row r="63" spans="1:5" ht="60" x14ac:dyDescent="0.25">
      <c r="A63" s="55"/>
      <c r="B63" s="60" t="s">
        <v>87</v>
      </c>
      <c r="C63" s="55" t="s">
        <v>0</v>
      </c>
      <c r="D63" s="55">
        <f>D62*1.03</f>
        <v>162.22499999999999</v>
      </c>
      <c r="E63" s="55"/>
    </row>
    <row r="64" spans="1:5" ht="15" x14ac:dyDescent="0.25">
      <c r="A64" s="66" t="s">
        <v>88</v>
      </c>
      <c r="B64" s="67"/>
      <c r="C64" s="67"/>
      <c r="D64" s="67"/>
      <c r="E64" s="68"/>
    </row>
    <row r="65" spans="1:5" ht="15" x14ac:dyDescent="0.25">
      <c r="A65" s="66" t="s">
        <v>89</v>
      </c>
      <c r="B65" s="67"/>
      <c r="C65" s="67"/>
      <c r="D65" s="67"/>
      <c r="E65" s="68"/>
    </row>
    <row r="66" spans="1:5" ht="30" x14ac:dyDescent="0.25">
      <c r="A66" s="59">
        <v>19</v>
      </c>
      <c r="B66" s="58" t="s">
        <v>90</v>
      </c>
      <c r="C66" s="59" t="s">
        <v>0</v>
      </c>
      <c r="D66" s="59">
        <v>38</v>
      </c>
      <c r="E66" s="59"/>
    </row>
    <row r="67" spans="1:5" ht="60" x14ac:dyDescent="0.25">
      <c r="A67" s="55"/>
      <c r="B67" s="60" t="s">
        <v>131</v>
      </c>
      <c r="C67" s="55" t="s">
        <v>0</v>
      </c>
      <c r="D67" s="55">
        <f>D66*1.05</f>
        <v>39.9</v>
      </c>
      <c r="E67" s="55"/>
    </row>
    <row r="68" spans="1:5" ht="15" x14ac:dyDescent="0.25">
      <c r="A68" s="66" t="s">
        <v>91</v>
      </c>
      <c r="B68" s="67"/>
      <c r="C68" s="67"/>
      <c r="D68" s="67"/>
      <c r="E68" s="68"/>
    </row>
    <row r="69" spans="1:5" ht="15" x14ac:dyDescent="0.25">
      <c r="A69" s="66" t="s">
        <v>92</v>
      </c>
      <c r="B69" s="67"/>
      <c r="C69" s="67"/>
      <c r="D69" s="67"/>
      <c r="E69" s="68"/>
    </row>
    <row r="70" spans="1:5" ht="30" x14ac:dyDescent="0.25">
      <c r="A70" s="59">
        <v>20</v>
      </c>
      <c r="B70" s="58" t="s">
        <v>93</v>
      </c>
      <c r="C70" s="59" t="s">
        <v>0</v>
      </c>
      <c r="D70" s="59">
        <v>1356.6</v>
      </c>
      <c r="E70" s="59"/>
    </row>
    <row r="71" spans="1:5" ht="30" x14ac:dyDescent="0.25">
      <c r="A71" s="55"/>
      <c r="B71" s="60" t="s">
        <v>94</v>
      </c>
      <c r="C71" s="55" t="s">
        <v>62</v>
      </c>
      <c r="D71" s="55">
        <f>D70*1.426</f>
        <v>1934.5115999999998</v>
      </c>
      <c r="E71" s="55"/>
    </row>
    <row r="72" spans="1:5" ht="15" x14ac:dyDescent="0.25">
      <c r="A72" s="55"/>
      <c r="B72" s="60" t="s">
        <v>95</v>
      </c>
      <c r="C72" s="55" t="s">
        <v>62</v>
      </c>
      <c r="D72" s="55">
        <f>D70*1.426</f>
        <v>1934.5115999999998</v>
      </c>
      <c r="E72" s="55"/>
    </row>
    <row r="73" spans="1:5" ht="30" x14ac:dyDescent="0.25">
      <c r="A73" s="55"/>
      <c r="B73" s="60" t="s">
        <v>96</v>
      </c>
      <c r="C73" s="55" t="s">
        <v>0</v>
      </c>
      <c r="D73" s="55">
        <f>D70*1.15</f>
        <v>1560.0899999999997</v>
      </c>
      <c r="E73" s="55"/>
    </row>
    <row r="74" spans="1:5" ht="15" x14ac:dyDescent="0.25">
      <c r="A74" s="55"/>
      <c r="B74" s="60" t="s">
        <v>97</v>
      </c>
      <c r="C74" s="55" t="s">
        <v>98</v>
      </c>
      <c r="D74" s="61">
        <f>CEILING(D71/0.12,1)</f>
        <v>16121</v>
      </c>
      <c r="E74" s="55"/>
    </row>
    <row r="75" spans="1:5" ht="45" x14ac:dyDescent="0.25">
      <c r="A75" s="55"/>
      <c r="B75" s="60" t="s">
        <v>99</v>
      </c>
      <c r="C75" s="55" t="s">
        <v>98</v>
      </c>
      <c r="D75" s="61">
        <f>CEILING(D72/0.12,1)</f>
        <v>16121</v>
      </c>
      <c r="E75" s="55"/>
    </row>
    <row r="76" spans="1:5" ht="15" x14ac:dyDescent="0.25">
      <c r="A76" s="66" t="s">
        <v>100</v>
      </c>
      <c r="B76" s="67"/>
      <c r="C76" s="67"/>
      <c r="D76" s="67"/>
      <c r="E76" s="68"/>
    </row>
    <row r="77" spans="1:5" ht="15" x14ac:dyDescent="0.25">
      <c r="A77" s="66" t="s">
        <v>101</v>
      </c>
      <c r="B77" s="67"/>
      <c r="C77" s="67"/>
      <c r="D77" s="67"/>
      <c r="E77" s="68"/>
    </row>
    <row r="78" spans="1:5" ht="30" x14ac:dyDescent="0.25">
      <c r="A78" s="59">
        <v>21</v>
      </c>
      <c r="B78" s="58" t="s">
        <v>102</v>
      </c>
      <c r="C78" s="59" t="s">
        <v>0</v>
      </c>
      <c r="D78" s="59">
        <v>153.5</v>
      </c>
      <c r="E78" s="59"/>
    </row>
    <row r="79" spans="1:5" ht="60" x14ac:dyDescent="0.25">
      <c r="A79" s="55"/>
      <c r="B79" s="60" t="s">
        <v>103</v>
      </c>
      <c r="C79" s="55" t="s">
        <v>0</v>
      </c>
      <c r="D79" s="55">
        <f>1.03*D78</f>
        <v>158.10500000000002</v>
      </c>
      <c r="E79" s="55"/>
    </row>
    <row r="80" spans="1:5" ht="15" x14ac:dyDescent="0.25">
      <c r="A80" s="46"/>
      <c r="B80" s="65"/>
      <c r="C80" s="62"/>
      <c r="D80" s="46"/>
      <c r="E80" s="46"/>
    </row>
    <row r="81" spans="1:5" ht="26.25" customHeight="1" x14ac:dyDescent="0.25">
      <c r="A81" s="85" t="s">
        <v>206</v>
      </c>
      <c r="B81" s="85"/>
      <c r="D81" s="13"/>
      <c r="E81" s="13"/>
    </row>
    <row r="82" spans="1:5" ht="34.5" customHeight="1" x14ac:dyDescent="0.25">
      <c r="A82" s="86" t="s">
        <v>207</v>
      </c>
      <c r="B82" s="86"/>
      <c r="C82" s="86"/>
      <c r="D82" s="86"/>
      <c r="E82" s="86"/>
    </row>
  </sheetData>
  <mergeCells count="27">
    <mergeCell ref="A82:E82"/>
    <mergeCell ref="A3:E4"/>
    <mergeCell ref="A5:E5"/>
    <mergeCell ref="A81:B81"/>
    <mergeCell ref="A76:E76"/>
    <mergeCell ref="A77:E77"/>
    <mergeCell ref="A56:E56"/>
    <mergeCell ref="A57:E57"/>
    <mergeCell ref="A64:E64"/>
    <mergeCell ref="A65:E65"/>
    <mergeCell ref="A68:E68"/>
    <mergeCell ref="A69:E69"/>
    <mergeCell ref="A61:E61"/>
    <mergeCell ref="A9:E9"/>
    <mergeCell ref="A10:E10"/>
    <mergeCell ref="A16:E16"/>
    <mergeCell ref="A60:E60"/>
    <mergeCell ref="A38:E38"/>
    <mergeCell ref="A46:E46"/>
    <mergeCell ref="A47:E47"/>
    <mergeCell ref="A17:E17"/>
    <mergeCell ref="A22:E22"/>
    <mergeCell ref="A23:E23"/>
    <mergeCell ref="A29:E29"/>
    <mergeCell ref="A30:E30"/>
    <mergeCell ref="A37:E37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zoomScaleNormal="100" workbookViewId="0">
      <selection activeCell="G6" sqref="G6"/>
    </sheetView>
  </sheetViews>
  <sheetFormatPr defaultRowHeight="15" x14ac:dyDescent="0.25"/>
  <cols>
    <col min="1" max="1" width="13.42578125" customWidth="1"/>
    <col min="2" max="2" width="72.85546875" style="15" bestFit="1" customWidth="1"/>
    <col min="3" max="3" width="11.85546875" style="1" customWidth="1"/>
    <col min="4" max="4" width="10" style="1" bestFit="1" customWidth="1"/>
    <col min="5" max="5" width="27" style="2" bestFit="1" customWidth="1"/>
    <col min="6" max="6" width="9.140625" style="8"/>
  </cols>
  <sheetData>
    <row r="1" spans="1:6" s="51" customFormat="1" x14ac:dyDescent="0.25">
      <c r="B1" s="15"/>
      <c r="C1" s="52"/>
      <c r="D1" s="52"/>
      <c r="E1" s="49" t="s">
        <v>205</v>
      </c>
      <c r="F1" s="49"/>
    </row>
    <row r="2" spans="1:6" s="51" customFormat="1" x14ac:dyDescent="0.25">
      <c r="B2" s="15"/>
      <c r="C2" s="52"/>
      <c r="D2" s="52"/>
      <c r="E2" s="2"/>
      <c r="F2" s="53"/>
    </row>
    <row r="3" spans="1:6" s="51" customFormat="1" ht="15" customHeight="1" x14ac:dyDescent="0.25">
      <c r="A3" s="48" t="s">
        <v>201</v>
      </c>
      <c r="B3" s="48"/>
      <c r="C3" s="48"/>
      <c r="D3" s="48"/>
      <c r="E3" s="48"/>
      <c r="F3" s="53"/>
    </row>
    <row r="4" spans="1:6" s="51" customFormat="1" x14ac:dyDescent="0.25">
      <c r="A4" s="48" t="s">
        <v>202</v>
      </c>
      <c r="B4" s="48"/>
      <c r="C4" s="48"/>
      <c r="D4" s="48"/>
      <c r="E4" s="48"/>
      <c r="F4" s="53"/>
    </row>
    <row r="5" spans="1:6" x14ac:dyDescent="0.25">
      <c r="A5" s="3"/>
      <c r="B5" s="17"/>
      <c r="C5" s="17"/>
      <c r="D5" s="17"/>
      <c r="E5" s="6"/>
    </row>
    <row r="6" spans="1:6" x14ac:dyDescent="0.25">
      <c r="A6" s="4"/>
      <c r="B6" s="5"/>
      <c r="C6" s="4"/>
      <c r="D6" s="4"/>
      <c r="E6" s="6"/>
    </row>
    <row r="7" spans="1:6" ht="30" x14ac:dyDescent="0.25">
      <c r="A7" s="69" t="s">
        <v>160</v>
      </c>
      <c r="B7" s="69" t="s">
        <v>127</v>
      </c>
      <c r="C7" s="69" t="s">
        <v>128</v>
      </c>
      <c r="D7" s="69" t="s">
        <v>129</v>
      </c>
      <c r="E7" s="69" t="s">
        <v>130</v>
      </c>
    </row>
    <row r="8" spans="1:6" x14ac:dyDescent="0.25">
      <c r="A8" s="23" t="s">
        <v>173</v>
      </c>
      <c r="B8" s="23"/>
      <c r="C8" s="23"/>
      <c r="D8" s="23"/>
      <c r="E8" s="23"/>
    </row>
    <row r="9" spans="1:6" ht="29.25" customHeight="1" x14ac:dyDescent="0.25">
      <c r="A9" s="77">
        <v>1</v>
      </c>
      <c r="B9" s="70" t="s">
        <v>104</v>
      </c>
      <c r="C9" s="75" t="s">
        <v>0</v>
      </c>
      <c r="D9" s="79">
        <f>26140+48+726-D22-D25</f>
        <v>23614</v>
      </c>
      <c r="E9" s="80"/>
      <c r="F9" s="7"/>
    </row>
    <row r="10" spans="1:6" ht="45" x14ac:dyDescent="0.25">
      <c r="A10" s="24"/>
      <c r="B10" s="71" t="s">
        <v>9</v>
      </c>
      <c r="C10" s="72" t="s">
        <v>10</v>
      </c>
      <c r="D10" s="81">
        <f>D9*0.15</f>
        <v>3542.1</v>
      </c>
      <c r="E10" s="72"/>
    </row>
    <row r="11" spans="1:6" x14ac:dyDescent="0.25">
      <c r="A11" s="77">
        <v>2</v>
      </c>
      <c r="B11" s="70" t="s">
        <v>105</v>
      </c>
      <c r="C11" s="75" t="s">
        <v>0</v>
      </c>
      <c r="D11" s="79">
        <v>1485</v>
      </c>
      <c r="E11" s="80"/>
    </row>
    <row r="12" spans="1:6" x14ac:dyDescent="0.25">
      <c r="A12" s="25"/>
      <c r="B12" s="74" t="s">
        <v>188</v>
      </c>
      <c r="C12" s="78" t="s">
        <v>13</v>
      </c>
      <c r="D12" s="26">
        <f>D11*0.072</f>
        <v>106.91999999999999</v>
      </c>
      <c r="E12" s="27"/>
    </row>
    <row r="13" spans="1:6" x14ac:dyDescent="0.25">
      <c r="A13" s="25"/>
      <c r="B13" s="74" t="s">
        <v>189</v>
      </c>
      <c r="C13" s="78" t="s">
        <v>8</v>
      </c>
      <c r="D13" s="26">
        <f>D11*0.02244</f>
        <v>33.323399999999999</v>
      </c>
      <c r="E13" s="27"/>
    </row>
    <row r="14" spans="1:6" x14ac:dyDescent="0.25">
      <c r="A14" s="25"/>
      <c r="B14" s="74" t="s">
        <v>190</v>
      </c>
      <c r="C14" s="78" t="s">
        <v>0</v>
      </c>
      <c r="D14" s="26">
        <f>D11*0.06648</f>
        <v>98.722799999999992</v>
      </c>
      <c r="E14" s="27"/>
    </row>
    <row r="15" spans="1:6" x14ac:dyDescent="0.25">
      <c r="A15" s="77">
        <v>3</v>
      </c>
      <c r="B15" s="70" t="s">
        <v>106</v>
      </c>
      <c r="C15" s="75" t="s">
        <v>0</v>
      </c>
      <c r="D15" s="79">
        <v>3434</v>
      </c>
      <c r="E15" s="80"/>
    </row>
    <row r="16" spans="1:6" x14ac:dyDescent="0.25">
      <c r="A16" s="25"/>
      <c r="B16" s="74" t="s">
        <v>188</v>
      </c>
      <c r="C16" s="78" t="s">
        <v>13</v>
      </c>
      <c r="D16" s="26">
        <f>D15*0.072</f>
        <v>247.24799999999999</v>
      </c>
      <c r="E16" s="27"/>
    </row>
    <row r="17" spans="1:5" x14ac:dyDescent="0.25">
      <c r="A17" s="25"/>
      <c r="B17" s="74" t="s">
        <v>189</v>
      </c>
      <c r="C17" s="78" t="s">
        <v>8</v>
      </c>
      <c r="D17" s="26">
        <f>D15*0.02244</f>
        <v>77.058959999999999</v>
      </c>
      <c r="E17" s="27"/>
    </row>
    <row r="18" spans="1:5" x14ac:dyDescent="0.25">
      <c r="A18" s="25"/>
      <c r="B18" s="74" t="s">
        <v>190</v>
      </c>
      <c r="C18" s="78" t="s">
        <v>0</v>
      </c>
      <c r="D18" s="26">
        <f>D15*0.06648</f>
        <v>228.29231999999999</v>
      </c>
      <c r="E18" s="27"/>
    </row>
    <row r="19" spans="1:5" x14ac:dyDescent="0.25">
      <c r="A19" s="77">
        <v>4</v>
      </c>
      <c r="B19" s="70" t="s">
        <v>193</v>
      </c>
      <c r="C19" s="75" t="s">
        <v>0</v>
      </c>
      <c r="D19" s="79">
        <v>1439</v>
      </c>
      <c r="E19" s="80"/>
    </row>
    <row r="20" spans="1:5" x14ac:dyDescent="0.25">
      <c r="A20" s="25"/>
      <c r="B20" s="74" t="s">
        <v>194</v>
      </c>
      <c r="C20" s="78" t="s">
        <v>8</v>
      </c>
      <c r="D20" s="26">
        <f>D19*0.022</f>
        <v>31.657999999999998</v>
      </c>
      <c r="E20" s="27"/>
    </row>
    <row r="21" spans="1:5" x14ac:dyDescent="0.25">
      <c r="A21" s="25"/>
      <c r="B21" s="74" t="s">
        <v>192</v>
      </c>
      <c r="C21" s="78" t="s">
        <v>8</v>
      </c>
      <c r="D21" s="26">
        <f>D19*0.007</f>
        <v>10.073</v>
      </c>
      <c r="E21" s="27"/>
    </row>
    <row r="22" spans="1:5" x14ac:dyDescent="0.25">
      <c r="A22" s="77">
        <v>5</v>
      </c>
      <c r="B22" s="70" t="s">
        <v>107</v>
      </c>
      <c r="C22" s="75" t="s">
        <v>0</v>
      </c>
      <c r="D22" s="79">
        <v>2096</v>
      </c>
      <c r="E22" s="80"/>
    </row>
    <row r="23" spans="1:5" x14ac:dyDescent="0.25">
      <c r="A23" s="25"/>
      <c r="B23" s="74" t="s">
        <v>195</v>
      </c>
      <c r="C23" s="78" t="s">
        <v>13</v>
      </c>
      <c r="D23" s="26">
        <f>D22*0.8</f>
        <v>1676.8000000000002</v>
      </c>
      <c r="E23" s="27"/>
    </row>
    <row r="24" spans="1:5" x14ac:dyDescent="0.25">
      <c r="A24" s="25"/>
      <c r="B24" s="74" t="s">
        <v>191</v>
      </c>
      <c r="C24" s="78" t="s">
        <v>10</v>
      </c>
      <c r="D24" s="26">
        <f>D22*0.15</f>
        <v>314.39999999999998</v>
      </c>
      <c r="E24" s="27"/>
    </row>
    <row r="25" spans="1:5" x14ac:dyDescent="0.25">
      <c r="A25" s="77">
        <v>6</v>
      </c>
      <c r="B25" s="70" t="s">
        <v>108</v>
      </c>
      <c r="C25" s="75" t="s">
        <v>0</v>
      </c>
      <c r="D25" s="79">
        <v>1204</v>
      </c>
      <c r="E25" s="80"/>
    </row>
    <row r="26" spans="1:5" x14ac:dyDescent="0.25">
      <c r="A26" s="25"/>
      <c r="B26" s="74" t="s">
        <v>195</v>
      </c>
      <c r="C26" s="78" t="s">
        <v>13</v>
      </c>
      <c r="D26" s="26">
        <f>D25*0.8</f>
        <v>963.2</v>
      </c>
      <c r="E26" s="27"/>
    </row>
    <row r="27" spans="1:5" x14ac:dyDescent="0.25">
      <c r="A27" s="25"/>
      <c r="B27" s="74" t="s">
        <v>191</v>
      </c>
      <c r="C27" s="78" t="s">
        <v>10</v>
      </c>
      <c r="D27" s="26">
        <f>D25*0.15</f>
        <v>180.6</v>
      </c>
      <c r="E27" s="27"/>
    </row>
    <row r="28" spans="1:5" x14ac:dyDescent="0.25">
      <c r="A28" s="77">
        <v>7</v>
      </c>
      <c r="B28" s="70" t="s">
        <v>109</v>
      </c>
      <c r="C28" s="75" t="s">
        <v>0</v>
      </c>
      <c r="D28" s="79">
        <v>2201</v>
      </c>
      <c r="E28" s="80"/>
    </row>
    <row r="29" spans="1:5" x14ac:dyDescent="0.25">
      <c r="A29" s="25"/>
      <c r="B29" s="74" t="s">
        <v>196</v>
      </c>
      <c r="C29" s="78" t="s">
        <v>0</v>
      </c>
      <c r="D29" s="26">
        <f>D28*1.05</f>
        <v>2311.0500000000002</v>
      </c>
      <c r="E29" s="27"/>
    </row>
    <row r="30" spans="1:5" x14ac:dyDescent="0.25">
      <c r="A30" s="25"/>
      <c r="B30" s="74" t="s">
        <v>195</v>
      </c>
      <c r="C30" s="78" t="s">
        <v>13</v>
      </c>
      <c r="D30" s="26">
        <f>D28*1.2</f>
        <v>2641.2</v>
      </c>
      <c r="E30" s="27"/>
    </row>
    <row r="31" spans="1:5" x14ac:dyDescent="0.25">
      <c r="A31" s="25"/>
      <c r="B31" s="74" t="s">
        <v>197</v>
      </c>
      <c r="C31" s="78" t="s">
        <v>13</v>
      </c>
      <c r="D31" s="26">
        <f>D28*0.275</f>
        <v>605.27500000000009</v>
      </c>
      <c r="E31" s="27"/>
    </row>
    <row r="32" spans="1:5" x14ac:dyDescent="0.25">
      <c r="A32" s="77">
        <v>8</v>
      </c>
      <c r="B32" s="70" t="s">
        <v>110</v>
      </c>
      <c r="C32" s="75" t="s">
        <v>0</v>
      </c>
      <c r="D32" s="79">
        <v>7412</v>
      </c>
      <c r="E32" s="80"/>
    </row>
    <row r="33" spans="1:9" x14ac:dyDescent="0.25">
      <c r="A33" s="25"/>
      <c r="B33" s="74" t="s">
        <v>198</v>
      </c>
      <c r="C33" s="78" t="s">
        <v>13</v>
      </c>
      <c r="D33" s="26">
        <f>D32*0.29</f>
        <v>2149.48</v>
      </c>
      <c r="E33" s="27"/>
    </row>
    <row r="34" spans="1:9" x14ac:dyDescent="0.25">
      <c r="A34" s="77">
        <v>9</v>
      </c>
      <c r="B34" s="70" t="s">
        <v>111</v>
      </c>
      <c r="C34" s="75" t="s">
        <v>0</v>
      </c>
      <c r="D34" s="79">
        <v>687</v>
      </c>
      <c r="E34" s="80"/>
    </row>
    <row r="35" spans="1:9" x14ac:dyDescent="0.25">
      <c r="A35" s="24"/>
      <c r="B35" s="71" t="s">
        <v>187</v>
      </c>
      <c r="C35" s="72" t="s">
        <v>13</v>
      </c>
      <c r="D35" s="81">
        <f>D34*1.1</f>
        <v>755.7</v>
      </c>
      <c r="E35" s="82" t="s">
        <v>200</v>
      </c>
    </row>
    <row r="36" spans="1:9" ht="30" x14ac:dyDescent="0.25">
      <c r="A36" s="77">
        <v>10</v>
      </c>
      <c r="B36" s="70" t="s">
        <v>141</v>
      </c>
      <c r="C36" s="75" t="s">
        <v>0</v>
      </c>
      <c r="D36" s="79">
        <v>8719</v>
      </c>
      <c r="E36" s="80"/>
    </row>
    <row r="37" spans="1:9" ht="30" x14ac:dyDescent="0.25">
      <c r="A37" s="25"/>
      <c r="B37" s="74" t="s">
        <v>156</v>
      </c>
      <c r="C37" s="72" t="s">
        <v>13</v>
      </c>
      <c r="D37" s="81">
        <f>D36*0.159</f>
        <v>1386.3209999999999</v>
      </c>
      <c r="E37" s="73" t="s">
        <v>150</v>
      </c>
    </row>
    <row r="38" spans="1:9" ht="30" x14ac:dyDescent="0.25">
      <c r="A38" s="77">
        <v>11</v>
      </c>
      <c r="B38" s="70" t="s">
        <v>140</v>
      </c>
      <c r="C38" s="75" t="s">
        <v>0</v>
      </c>
      <c r="D38" s="79">
        <v>263</v>
      </c>
      <c r="E38" s="80"/>
    </row>
    <row r="39" spans="1:9" ht="30" x14ac:dyDescent="0.25">
      <c r="A39" s="25"/>
      <c r="B39" s="74" t="s">
        <v>157</v>
      </c>
      <c r="C39" s="72" t="s">
        <v>13</v>
      </c>
      <c r="D39" s="81">
        <f>D38*0.159</f>
        <v>41.817</v>
      </c>
      <c r="E39" s="73" t="s">
        <v>150</v>
      </c>
    </row>
    <row r="40" spans="1:9" x14ac:dyDescent="0.25">
      <c r="A40" s="77">
        <v>12</v>
      </c>
      <c r="B40" s="70" t="s">
        <v>112</v>
      </c>
      <c r="C40" s="75" t="s">
        <v>0</v>
      </c>
      <c r="D40" s="79">
        <f>5750+1808</f>
        <v>7558</v>
      </c>
      <c r="E40" s="80"/>
    </row>
    <row r="41" spans="1:9" x14ac:dyDescent="0.25">
      <c r="A41" s="24"/>
      <c r="B41" s="71" t="s">
        <v>113</v>
      </c>
      <c r="C41" s="72" t="s">
        <v>0</v>
      </c>
      <c r="D41" s="81">
        <f>5750*1.12</f>
        <v>6440.0000000000009</v>
      </c>
      <c r="E41" s="72"/>
    </row>
    <row r="42" spans="1:9" x14ac:dyDescent="0.25">
      <c r="A42" s="24"/>
      <c r="B42" s="71" t="s">
        <v>114</v>
      </c>
      <c r="C42" s="72" t="s">
        <v>0</v>
      </c>
      <c r="D42" s="81">
        <f>1808*1.12</f>
        <v>2024.9600000000003</v>
      </c>
      <c r="E42" s="72"/>
    </row>
    <row r="43" spans="1:9" x14ac:dyDescent="0.25">
      <c r="A43" s="24"/>
      <c r="B43" s="71" t="s">
        <v>164</v>
      </c>
      <c r="C43" s="72" t="s">
        <v>62</v>
      </c>
      <c r="D43" s="81">
        <f>D40*2</f>
        <v>15116</v>
      </c>
      <c r="E43" s="72"/>
    </row>
    <row r="44" spans="1:9" x14ac:dyDescent="0.25">
      <c r="A44" s="24"/>
      <c r="B44" s="71" t="s">
        <v>167</v>
      </c>
      <c r="C44" s="72" t="s">
        <v>62</v>
      </c>
      <c r="D44" s="81">
        <f>D40*0.7</f>
        <v>5290.5999999999995</v>
      </c>
      <c r="E44" s="72"/>
      <c r="I44" s="16"/>
    </row>
    <row r="45" spans="1:9" x14ac:dyDescent="0.25">
      <c r="A45" s="24"/>
      <c r="B45" s="71" t="s">
        <v>168</v>
      </c>
      <c r="C45" s="72" t="s">
        <v>98</v>
      </c>
      <c r="D45" s="83">
        <f>D40*0.7</f>
        <v>5290.5999999999995</v>
      </c>
      <c r="E45" s="72"/>
    </row>
    <row r="46" spans="1:9" x14ac:dyDescent="0.25">
      <c r="A46" s="24"/>
      <c r="B46" s="71" t="s">
        <v>169</v>
      </c>
      <c r="C46" s="72" t="s">
        <v>62</v>
      </c>
      <c r="D46" s="83">
        <f>D40*0.7</f>
        <v>5290.5999999999995</v>
      </c>
      <c r="E46" s="72"/>
    </row>
    <row r="47" spans="1:9" x14ac:dyDescent="0.25">
      <c r="A47" s="24"/>
      <c r="B47" s="71" t="s">
        <v>165</v>
      </c>
      <c r="C47" s="72" t="s">
        <v>98</v>
      </c>
      <c r="D47" s="83">
        <f>D40*1.6</f>
        <v>12092.800000000001</v>
      </c>
      <c r="E47" s="72"/>
    </row>
    <row r="48" spans="1:9" x14ac:dyDescent="0.25">
      <c r="A48" s="24"/>
      <c r="B48" s="71" t="s">
        <v>166</v>
      </c>
      <c r="C48" s="72" t="s">
        <v>98</v>
      </c>
      <c r="D48" s="83">
        <f>D40*1.4</f>
        <v>10581.199999999999</v>
      </c>
      <c r="E48" s="72"/>
    </row>
    <row r="49" spans="1:5" x14ac:dyDescent="0.25">
      <c r="A49" s="24"/>
      <c r="B49" s="71" t="s">
        <v>170</v>
      </c>
      <c r="C49" s="72" t="s">
        <v>98</v>
      </c>
      <c r="D49" s="72">
        <f>D40*14</f>
        <v>105812</v>
      </c>
      <c r="E49" s="72"/>
    </row>
    <row r="50" spans="1:5" x14ac:dyDescent="0.25">
      <c r="A50" s="77">
        <v>13</v>
      </c>
      <c r="B50" s="70" t="s">
        <v>116</v>
      </c>
      <c r="C50" s="75" t="s">
        <v>0</v>
      </c>
      <c r="D50" s="75">
        <v>99</v>
      </c>
      <c r="E50" s="80"/>
    </row>
    <row r="51" spans="1:5" ht="30" x14ac:dyDescent="0.25">
      <c r="A51" s="24"/>
      <c r="B51" s="71" t="s">
        <v>142</v>
      </c>
      <c r="C51" s="72" t="s">
        <v>0</v>
      </c>
      <c r="D51" s="72">
        <f>99*1.02</f>
        <v>100.98</v>
      </c>
      <c r="E51" s="72"/>
    </row>
    <row r="52" spans="1:5" x14ac:dyDescent="0.25">
      <c r="A52" s="24"/>
      <c r="B52" s="71" t="s">
        <v>135</v>
      </c>
      <c r="C52" s="72" t="s">
        <v>13</v>
      </c>
      <c r="D52" s="72">
        <f>D50*11.2</f>
        <v>1108.8</v>
      </c>
      <c r="E52" s="76" t="s">
        <v>159</v>
      </c>
    </row>
    <row r="53" spans="1:5" x14ac:dyDescent="0.25">
      <c r="A53" s="77">
        <v>14</v>
      </c>
      <c r="B53" s="70" t="s">
        <v>117</v>
      </c>
      <c r="C53" s="75" t="s">
        <v>0</v>
      </c>
      <c r="D53" s="75">
        <v>69</v>
      </c>
      <c r="E53" s="80"/>
    </row>
    <row r="54" spans="1:5" ht="30" x14ac:dyDescent="0.25">
      <c r="A54" s="24"/>
      <c r="B54" s="71" t="s">
        <v>33</v>
      </c>
      <c r="C54" s="72" t="s">
        <v>0</v>
      </c>
      <c r="D54" s="72">
        <f>D53*1.02</f>
        <v>70.38</v>
      </c>
      <c r="E54" s="72"/>
    </row>
    <row r="55" spans="1:5" x14ac:dyDescent="0.25">
      <c r="A55" s="77">
        <v>15</v>
      </c>
      <c r="B55" s="70" t="s">
        <v>115</v>
      </c>
      <c r="C55" s="75" t="s">
        <v>0</v>
      </c>
      <c r="D55" s="75">
        <v>2177</v>
      </c>
      <c r="E55" s="80"/>
    </row>
    <row r="56" spans="1:5" x14ac:dyDescent="0.25">
      <c r="A56" s="24"/>
      <c r="B56" s="71" t="s">
        <v>145</v>
      </c>
      <c r="C56" s="72" t="s">
        <v>0</v>
      </c>
      <c r="D56" s="72">
        <f>1144*1.02</f>
        <v>1166.8800000000001</v>
      </c>
      <c r="E56" s="76" t="s">
        <v>161</v>
      </c>
    </row>
    <row r="57" spans="1:5" x14ac:dyDescent="0.25">
      <c r="A57" s="24"/>
      <c r="B57" s="71" t="s">
        <v>143</v>
      </c>
      <c r="C57" s="72" t="s">
        <v>0</v>
      </c>
      <c r="D57" s="72">
        <f>340*1.02</f>
        <v>346.8</v>
      </c>
      <c r="E57" s="76" t="s">
        <v>162</v>
      </c>
    </row>
    <row r="58" spans="1:5" x14ac:dyDescent="0.25">
      <c r="A58" s="24"/>
      <c r="B58" s="71" t="s">
        <v>146</v>
      </c>
      <c r="C58" s="72" t="s">
        <v>0</v>
      </c>
      <c r="D58" s="72">
        <f>642*1.02</f>
        <v>654.84</v>
      </c>
      <c r="E58" s="76" t="s">
        <v>163</v>
      </c>
    </row>
    <row r="59" spans="1:5" x14ac:dyDescent="0.25">
      <c r="A59" s="24"/>
      <c r="B59" s="71" t="s">
        <v>144</v>
      </c>
      <c r="C59" s="72" t="s">
        <v>0</v>
      </c>
      <c r="D59" s="72">
        <f>51*1.02</f>
        <v>52.02</v>
      </c>
      <c r="E59" s="76" t="s">
        <v>162</v>
      </c>
    </row>
    <row r="60" spans="1:5" x14ac:dyDescent="0.25">
      <c r="A60" s="24"/>
      <c r="B60" s="71" t="s">
        <v>135</v>
      </c>
      <c r="C60" s="72" t="s">
        <v>13</v>
      </c>
      <c r="D60" s="72">
        <f>1144*4.4+340*7.5+642*11.8+51*7.5</f>
        <v>15541.7</v>
      </c>
      <c r="E60" s="72"/>
    </row>
    <row r="61" spans="1:5" x14ac:dyDescent="0.25">
      <c r="A61" s="24"/>
      <c r="B61" s="71" t="s">
        <v>178</v>
      </c>
      <c r="C61" s="72" t="s">
        <v>13</v>
      </c>
      <c r="D61" s="72">
        <f>D55*0.09</f>
        <v>195.93</v>
      </c>
      <c r="E61" s="72"/>
    </row>
    <row r="62" spans="1:5" x14ac:dyDescent="0.25">
      <c r="A62" s="24"/>
      <c r="B62" s="71" t="s">
        <v>184</v>
      </c>
      <c r="C62" s="72" t="s">
        <v>98</v>
      </c>
      <c r="D62" s="72">
        <f>CEILING(D56*7+D57*7+D58*11+D59*7,1)</f>
        <v>18164</v>
      </c>
      <c r="E62" s="72"/>
    </row>
    <row r="63" spans="1:5" x14ac:dyDescent="0.25">
      <c r="A63" s="24"/>
      <c r="B63" s="71" t="s">
        <v>185</v>
      </c>
      <c r="C63" s="72" t="s">
        <v>98</v>
      </c>
      <c r="D63" s="72">
        <f>CEILING(D56*3+D57*3+D58*5+D59*3,1)</f>
        <v>7972</v>
      </c>
      <c r="E63" s="72"/>
    </row>
    <row r="64" spans="1:5" x14ac:dyDescent="0.25">
      <c r="A64" s="24"/>
      <c r="B64" s="71" t="s">
        <v>186</v>
      </c>
      <c r="C64" s="72" t="s">
        <v>98</v>
      </c>
      <c r="D64" s="72">
        <f>ROUNDUP(D55*15,0)</f>
        <v>32655</v>
      </c>
      <c r="E64" s="72"/>
    </row>
    <row r="65" spans="1:5" x14ac:dyDescent="0.25">
      <c r="A65" s="77">
        <v>16</v>
      </c>
      <c r="B65" s="70" t="s">
        <v>118</v>
      </c>
      <c r="C65" s="75" t="s">
        <v>0</v>
      </c>
      <c r="D65" s="75">
        <v>699</v>
      </c>
      <c r="E65" s="80"/>
    </row>
    <row r="66" spans="1:5" x14ac:dyDescent="0.25">
      <c r="A66" s="24"/>
      <c r="B66" s="71" t="s">
        <v>199</v>
      </c>
      <c r="C66" s="72" t="s">
        <v>0</v>
      </c>
      <c r="D66" s="72">
        <f>D65*1.02</f>
        <v>712.98</v>
      </c>
      <c r="E66" s="82"/>
    </row>
    <row r="67" spans="1:5" x14ac:dyDescent="0.25">
      <c r="A67" s="24"/>
      <c r="B67" s="71" t="s">
        <v>135</v>
      </c>
      <c r="C67" s="72" t="s">
        <v>13</v>
      </c>
      <c r="D67" s="72">
        <f>D65*4</f>
        <v>2796</v>
      </c>
      <c r="E67" s="76" t="s">
        <v>158</v>
      </c>
    </row>
    <row r="68" spans="1:5" x14ac:dyDescent="0.25">
      <c r="A68" s="24"/>
      <c r="B68" s="71" t="s">
        <v>184</v>
      </c>
      <c r="C68" s="72" t="s">
        <v>98</v>
      </c>
      <c r="D68" s="72">
        <f>D65*25</f>
        <v>17475</v>
      </c>
      <c r="E68" s="72"/>
    </row>
    <row r="69" spans="1:5" x14ac:dyDescent="0.25">
      <c r="A69" s="24"/>
      <c r="B69" s="71" t="s">
        <v>185</v>
      </c>
      <c r="C69" s="72" t="s">
        <v>98</v>
      </c>
      <c r="D69" s="72">
        <f>D65*9</f>
        <v>6291</v>
      </c>
      <c r="E69" s="72"/>
    </row>
    <row r="70" spans="1:5" x14ac:dyDescent="0.25">
      <c r="A70" s="24"/>
      <c r="B70" s="71" t="s">
        <v>186</v>
      </c>
      <c r="C70" s="72" t="s">
        <v>98</v>
      </c>
      <c r="D70" s="72">
        <f>D65*30</f>
        <v>20970</v>
      </c>
      <c r="E70" s="72"/>
    </row>
    <row r="73" spans="1:5" ht="19.5" customHeight="1" x14ac:dyDescent="0.25">
      <c r="A73" s="85" t="s">
        <v>206</v>
      </c>
      <c r="B73" s="85"/>
      <c r="C73" s="13"/>
      <c r="D73" s="13"/>
      <c r="E73" s="13"/>
    </row>
    <row r="74" spans="1:5" ht="36" customHeight="1" x14ac:dyDescent="0.25">
      <c r="A74" s="86" t="s">
        <v>207</v>
      </c>
      <c r="B74" s="86"/>
      <c r="C74" s="86"/>
      <c r="D74" s="86"/>
      <c r="E74" s="86"/>
    </row>
  </sheetData>
  <mergeCells count="6">
    <mergeCell ref="A73:B73"/>
    <mergeCell ref="A74:E74"/>
    <mergeCell ref="B5:D5"/>
    <mergeCell ref="A8:E8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ВОР_Полы</vt:lpstr>
      <vt:lpstr>ВОР_Потолки</vt:lpstr>
      <vt:lpstr>ВОР_Стены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2026-07-13T10:03:00Z</dcterms:modified>
</cp:coreProperties>
</file>