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Огражденя" sheetId="8" r:id="rId1"/>
  </sheets>
  <calcPr calcId="162913"/>
</workbook>
</file>

<file path=xl/calcChain.xml><?xml version="1.0" encoding="utf-8"?>
<calcChain xmlns="http://schemas.openxmlformats.org/spreadsheetml/2006/main">
  <c r="AF21" i="8" l="1"/>
  <c r="E20" i="8"/>
  <c r="T19" i="8"/>
  <c r="U19" i="8" s="1"/>
  <c r="V19" i="8"/>
  <c r="W19" i="8" s="1"/>
  <c r="F19" i="8"/>
  <c r="G19" i="8" s="1"/>
  <c r="L18" i="8"/>
  <c r="M18" i="8"/>
  <c r="J18" i="8"/>
  <c r="K18" i="8" s="1"/>
  <c r="H18" i="8"/>
  <c r="I18" i="8" s="1"/>
  <c r="C19" i="8"/>
  <c r="C18" i="8"/>
  <c r="N17" i="8"/>
  <c r="O17" i="8" s="1"/>
  <c r="L17" i="8"/>
  <c r="M17" i="8" s="1"/>
  <c r="J17" i="8"/>
  <c r="K17" i="8" s="1"/>
  <c r="H17" i="8"/>
  <c r="I17" i="8" s="1"/>
  <c r="C17" i="8"/>
  <c r="V16" i="8"/>
  <c r="W16" i="8" s="1"/>
  <c r="R16" i="8"/>
  <c r="S16" i="8" s="1"/>
  <c r="N16" i="8"/>
  <c r="L16" i="8"/>
  <c r="M16" i="8" s="1"/>
  <c r="J16" i="8"/>
  <c r="K16" i="8" s="1"/>
  <c r="H16" i="8"/>
  <c r="I16" i="8" s="1"/>
  <c r="F16" i="8"/>
  <c r="G16" i="8" s="1"/>
  <c r="G20" i="8" s="1"/>
  <c r="C16" i="8"/>
  <c r="L15" i="8"/>
  <c r="M15" i="8" s="1"/>
  <c r="J15" i="8"/>
  <c r="K15" i="8" s="1"/>
  <c r="H15" i="8"/>
  <c r="AF15" i="8" s="1"/>
  <c r="C15" i="8"/>
  <c r="V13" i="8"/>
  <c r="W13" i="8" s="1"/>
  <c r="R13" i="8"/>
  <c r="S13" i="8" s="1"/>
  <c r="D13" i="8"/>
  <c r="E13" i="8" s="1"/>
  <c r="C13" i="8"/>
  <c r="C12" i="8"/>
  <c r="C11" i="8"/>
  <c r="C10" i="8"/>
  <c r="C9" i="8"/>
  <c r="C8" i="8"/>
  <c r="C7" i="8"/>
  <c r="T14" i="8"/>
  <c r="U14" i="8" s="1"/>
  <c r="U20" i="8" s="1"/>
  <c r="L14" i="8"/>
  <c r="AD14" i="8"/>
  <c r="AE14" i="8" s="1"/>
  <c r="AB14" i="8"/>
  <c r="AC14" i="8" s="1"/>
  <c r="Z14" i="8"/>
  <c r="AA14" i="8" s="1"/>
  <c r="X14" i="8"/>
  <c r="Y14" i="8" s="1"/>
  <c r="P12" i="8"/>
  <c r="Q12" i="8" s="1"/>
  <c r="Q20" i="8" s="1"/>
  <c r="V12" i="8"/>
  <c r="W12" i="8" s="1"/>
  <c r="R12" i="8"/>
  <c r="F12" i="8"/>
  <c r="G12" i="8" s="1"/>
  <c r="N11" i="8"/>
  <c r="O11" i="8" s="1"/>
  <c r="L11" i="8"/>
  <c r="M11" i="8" s="1"/>
  <c r="J11" i="8"/>
  <c r="K11" i="8" s="1"/>
  <c r="H11" i="8"/>
  <c r="I11" i="8" s="1"/>
  <c r="R10" i="8"/>
  <c r="S10" i="8" s="1"/>
  <c r="N8" i="8"/>
  <c r="O8" i="8" s="1"/>
  <c r="N9" i="8"/>
  <c r="O9" i="8" s="1"/>
  <c r="N10" i="8"/>
  <c r="O10" i="8" s="1"/>
  <c r="L8" i="8"/>
  <c r="M8" i="8" s="1"/>
  <c r="L9" i="8"/>
  <c r="M9" i="8" s="1"/>
  <c r="L10" i="8"/>
  <c r="M10" i="8" s="1"/>
  <c r="J8" i="8"/>
  <c r="K8" i="8" s="1"/>
  <c r="J9" i="8"/>
  <c r="K9" i="8" s="1"/>
  <c r="J10" i="8"/>
  <c r="K10" i="8" s="1"/>
  <c r="H8" i="8"/>
  <c r="I8" i="8" s="1"/>
  <c r="H9" i="8"/>
  <c r="I9" i="8" s="1"/>
  <c r="H10" i="8"/>
  <c r="I10" i="8" s="1"/>
  <c r="N7" i="8"/>
  <c r="O7" i="8" s="1"/>
  <c r="L7" i="8"/>
  <c r="M7" i="8" s="1"/>
  <c r="J7" i="8"/>
  <c r="K7" i="8" s="1"/>
  <c r="H7" i="8"/>
  <c r="B20" i="8"/>
  <c r="AF16" i="8" l="1"/>
  <c r="O16" i="8"/>
  <c r="I15" i="8"/>
  <c r="AF17" i="8"/>
  <c r="AF13" i="8"/>
  <c r="AF7" i="8"/>
  <c r="C20" i="8"/>
  <c r="AF11" i="8"/>
  <c r="AF14" i="8"/>
  <c r="AF12" i="8"/>
  <c r="AF8" i="8"/>
  <c r="AF9" i="8"/>
  <c r="AF10" i="8"/>
  <c r="M14" i="8"/>
  <c r="M20" i="8" s="1"/>
  <c r="S12" i="8"/>
  <c r="S20" i="8" s="1"/>
  <c r="K20" i="8"/>
  <c r="AE20" i="8"/>
  <c r="AA20" i="8"/>
  <c r="I7" i="8"/>
  <c r="I20" i="8" s="1"/>
  <c r="AC20" i="8" l="1"/>
  <c r="C21" i="8"/>
  <c r="Y20" i="8"/>
  <c r="O20" i="8"/>
  <c r="W20" i="8" l="1"/>
</calcChain>
</file>

<file path=xl/sharedStrings.xml><?xml version="1.0" encoding="utf-8"?>
<sst xmlns="http://schemas.openxmlformats.org/spreadsheetml/2006/main" count="71" uniqueCount="44">
  <si>
    <t>всего</t>
  </si>
  <si>
    <t>Наименование</t>
  </si>
  <si>
    <t>Конструкции</t>
  </si>
  <si>
    <t>Кол-во</t>
  </si>
  <si>
    <t>Итого</t>
  </si>
  <si>
    <t>Элементы ограждений</t>
  </si>
  <si>
    <t>Общий вес ограждений</t>
  </si>
  <si>
    <t>на 1 орг.</t>
  </si>
  <si>
    <t>Сварку металлических элементов производить электродами Э-42 по ГОСТ 9467-75.
Сварные швы тщательно зачистить от ржавчины и окалины. 
После установки металлических элементов выполнить их антикоррозионную защиту двумя слоями эмали ПФ-115 по грунтовке ГФ-021.</t>
  </si>
  <si>
    <t>Приложение №1</t>
  </si>
  <si>
    <t>Итого (т)
на 1 шт</t>
  </si>
  <si>
    <t>Общий погонаж</t>
  </si>
  <si>
    <t>м.п.</t>
  </si>
  <si>
    <r>
      <rPr>
        <b/>
        <u/>
        <sz val="12"/>
        <rFont val="Times New Roman"/>
        <family val="1"/>
        <charset val="204"/>
      </rPr>
      <t xml:space="preserve">Административное здание МКР 7Б (кассационный суд). Ограждения </t>
    </r>
    <r>
      <rPr>
        <b/>
        <u/>
        <sz val="12"/>
        <color rgb="FFFF0000"/>
        <rFont val="Times New Roman"/>
        <family val="1"/>
        <charset val="204"/>
      </rPr>
      <t xml:space="preserve">
</t>
    </r>
    <r>
      <rPr>
        <b/>
        <u/>
        <sz val="12"/>
        <rFont val="Times New Roman"/>
        <family val="1"/>
        <charset val="204"/>
      </rPr>
      <t>9254-0-ГП.1 л.5, л.7, л.8</t>
    </r>
  </si>
  <si>
    <t>шт</t>
  </si>
  <si>
    <t>ОГН-1. Звено ЗВ-1</t>
  </si>
  <si>
    <t>ОГН-1. Звено ЗВ-2</t>
  </si>
  <si>
    <t>ОГН-1. Звено ЗВ-3</t>
  </si>
  <si>
    <t>ОГН-1. Звено ЗВ-4</t>
  </si>
  <si>
    <t>ОГН-1.
Металлическая калитка МК-1</t>
  </si>
  <si>
    <t>ОГН-1. Стойка СТ-1</t>
  </si>
  <si>
    <t>Петля крепления Мк-1, МВ-1</t>
  </si>
  <si>
    <r>
      <t xml:space="preserve">Труба кв.
50х50х5 мм (т)
</t>
    </r>
    <r>
      <rPr>
        <sz val="12"/>
        <rFont val="Times New Roman"/>
        <family val="1"/>
        <charset val="204"/>
      </rPr>
      <t>ГОСТ 8639-82</t>
    </r>
  </si>
  <si>
    <r>
      <t xml:space="preserve">Труба кв.
100х100х6мм (т)
</t>
    </r>
    <r>
      <rPr>
        <sz val="12"/>
        <rFont val="Times New Roman"/>
        <family val="1"/>
        <charset val="204"/>
      </rPr>
      <t>ГОСТ 8639-82</t>
    </r>
  </si>
  <si>
    <r>
      <t xml:space="preserve">Пластина
t=20 мм (т)
</t>
    </r>
    <r>
      <rPr>
        <sz val="12"/>
        <rFont val="Times New Roman"/>
        <family val="1"/>
        <charset val="204"/>
      </rPr>
      <t>ГОСТ 103-2006</t>
    </r>
  </si>
  <si>
    <r>
      <t xml:space="preserve">Пластина
t=8 мм(т)
</t>
    </r>
    <r>
      <rPr>
        <sz val="12"/>
        <rFont val="Times New Roman"/>
        <family val="1"/>
        <charset val="204"/>
      </rPr>
      <t>ГОСТ 103-2006</t>
    </r>
  </si>
  <si>
    <r>
      <t xml:space="preserve">Труба кв.
30х30 мм, L=150 (т)
</t>
    </r>
    <r>
      <rPr>
        <sz val="12"/>
        <rFont val="Times New Roman"/>
        <family val="1"/>
        <charset val="204"/>
      </rPr>
      <t>ГОСТ 2591-2006</t>
    </r>
  </si>
  <si>
    <r>
      <t xml:space="preserve">Труба кв.
20х20х2 мм (т)
</t>
    </r>
    <r>
      <rPr>
        <sz val="12"/>
        <rFont val="Times New Roman"/>
        <family val="1"/>
        <charset val="204"/>
      </rPr>
      <t>ГОСТ 8639-82</t>
    </r>
  </si>
  <si>
    <r>
      <t xml:space="preserve">Труба кв.
30х30х4 мм (т)
</t>
    </r>
    <r>
      <rPr>
        <sz val="12"/>
        <rFont val="Times New Roman"/>
        <family val="1"/>
        <charset val="204"/>
      </rPr>
      <t>ГОСТ 8639-82</t>
    </r>
  </si>
  <si>
    <r>
      <t xml:space="preserve">Болт М24
</t>
    </r>
    <r>
      <rPr>
        <sz val="12"/>
        <rFont val="Times New Roman"/>
        <family val="1"/>
        <charset val="204"/>
      </rPr>
      <t>ГОСТ Р ИСО 4014-2013</t>
    </r>
  </si>
  <si>
    <r>
      <t xml:space="preserve">Гайка М24
</t>
    </r>
    <r>
      <rPr>
        <sz val="12"/>
        <rFont val="Times New Roman"/>
        <family val="1"/>
        <charset val="204"/>
      </rPr>
      <t>ГОСТ 5915-70</t>
    </r>
  </si>
  <si>
    <r>
      <t xml:space="preserve">Шайба М24
</t>
    </r>
    <r>
      <rPr>
        <sz val="12"/>
        <rFont val="Times New Roman"/>
        <family val="1"/>
        <charset val="204"/>
      </rPr>
      <t>ГОСТ 11371-78</t>
    </r>
  </si>
  <si>
    <r>
      <t xml:space="preserve">Труба кв.
20х20 мм, L=60 (т)
</t>
    </r>
    <r>
      <rPr>
        <sz val="12"/>
        <rFont val="Times New Roman"/>
        <family val="1"/>
        <charset val="204"/>
      </rPr>
      <t>ГОСТ 2591-2006</t>
    </r>
  </si>
  <si>
    <t>Пластина(круг) d=42 мм, t=5,5 мм</t>
  </si>
  <si>
    <r>
      <t xml:space="preserve">Пластина
t=7 мм(т)
</t>
    </r>
    <r>
      <rPr>
        <sz val="12"/>
        <rFont val="Times New Roman"/>
        <family val="1"/>
        <charset val="204"/>
      </rPr>
      <t>ГОСТ 103-2006</t>
    </r>
  </si>
  <si>
    <t>-</t>
  </si>
  <si>
    <t>т</t>
  </si>
  <si>
    <t>ОГН-2. Звено ЗВ-1</t>
  </si>
  <si>
    <t>ОГН-2. Стойка СТ-1</t>
  </si>
  <si>
    <t>ОГН-1. Металлические ворота МВ-1</t>
  </si>
  <si>
    <t>ОГН-1. Стойка СТ-2</t>
  </si>
  <si>
    <r>
      <t xml:space="preserve">Труба кв.
180х180х8мм (т)
</t>
    </r>
    <r>
      <rPr>
        <sz val="12"/>
        <rFont val="Times New Roman"/>
        <family val="1"/>
        <charset val="204"/>
      </rPr>
      <t>ГОСТ 8639-82</t>
    </r>
  </si>
  <si>
    <t>ОГН-3.Звено ЗВ-1</t>
  </si>
  <si>
    <t>ОГН-3.Стойка СТ-1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</si>
</sst>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₽&quot;_-;\-* #,##0.00\ &quot;₽&quot;_-;_-* &quot;-&quot;??\ &quot;₽&quot;_-;_-@_-"/>
    <numFmt numFmtId="164" formatCode="#,##0.000"/>
    <numFmt numFmtId="165" formatCode="#,##0.0000"/>
    <numFmt numFmtId="166" formatCode="#,##0.00000"/>
    <numFmt numFmtId="167" formatCode="0.0000"/>
    <numFmt numFmtId="169" formatCode="0.000"/>
    <numFmt numFmtId="176" formatCode="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1"/>
      <color rgb="FFFF0000"/>
      <name val="Calibri"/>
      <family val="2"/>
      <scheme val="minor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Calibri"/>
      <family val="2"/>
      <scheme val="minor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/>
    <xf numFmtId="0" fontId="0" fillId="0" borderId="0" xfId="0" applyFill="1"/>
    <xf numFmtId="0" fontId="5" fillId="0" borderId="0" xfId="0" applyFont="1"/>
    <xf numFmtId="0" fontId="9" fillId="0" borderId="0" xfId="0" applyFont="1" applyFill="1"/>
    <xf numFmtId="0" fontId="7" fillId="0" borderId="0" xfId="0" applyFont="1" applyFill="1"/>
    <xf numFmtId="0" fontId="6" fillId="0" borderId="0" xfId="0" applyFont="1"/>
    <xf numFmtId="0" fontId="10" fillId="0" borderId="0" xfId="0" applyFont="1" applyFill="1"/>
    <xf numFmtId="0" fontId="7" fillId="0" borderId="0" xfId="0" applyFont="1"/>
    <xf numFmtId="0" fontId="11" fillId="0" borderId="0" xfId="0" applyFont="1"/>
    <xf numFmtId="0" fontId="5" fillId="0" borderId="0" xfId="0" applyFont="1" applyFill="1"/>
    <xf numFmtId="0" fontId="3" fillId="2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top"/>
    </xf>
    <xf numFmtId="0" fontId="6" fillId="0" borderId="0" xfId="0" applyFont="1" applyFill="1"/>
    <xf numFmtId="164" fontId="4" fillId="0" borderId="4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6" fontId="3" fillId="0" borderId="9" xfId="0" applyNumberFormat="1" applyFont="1" applyFill="1" applyBorder="1" applyAlignment="1">
      <alignment horizontal="center" vertical="center"/>
    </xf>
    <xf numFmtId="166" fontId="4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6" fillId="0" borderId="0" xfId="0" applyFont="1" applyFill="1"/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164" fontId="17" fillId="0" borderId="5" xfId="0" applyNumberFormat="1" applyFont="1" applyFill="1" applyBorder="1" applyAlignment="1">
      <alignment vertical="center"/>
    </xf>
    <xf numFmtId="1" fontId="3" fillId="0" borderId="23" xfId="0" applyNumberFormat="1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vertical="center"/>
    </xf>
    <xf numFmtId="167" fontId="3" fillId="0" borderId="4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Alignment="1">
      <alignment horizontal="center" vertical="center"/>
    </xf>
    <xf numFmtId="167" fontId="3" fillId="0" borderId="9" xfId="0" applyNumberFormat="1" applyFont="1" applyFill="1" applyBorder="1" applyAlignment="1">
      <alignment horizontal="center" vertical="center"/>
    </xf>
    <xf numFmtId="166" fontId="3" fillId="0" borderId="10" xfId="0" applyNumberFormat="1" applyFont="1" applyFill="1" applyBorder="1" applyAlignment="1">
      <alignment horizontal="center" vertical="center"/>
    </xf>
    <xf numFmtId="166" fontId="3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7" fillId="0" borderId="6" xfId="0" applyNumberFormat="1" applyFont="1" applyFill="1" applyBorder="1" applyAlignment="1">
      <alignment horizontal="right" vertical="center"/>
    </xf>
    <xf numFmtId="0" fontId="17" fillId="0" borderId="7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167" fontId="4" fillId="0" borderId="2" xfId="0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1" fontId="17" fillId="0" borderId="5" xfId="0" applyNumberFormat="1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3" fillId="0" borderId="31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6" fillId="0" borderId="2" xfId="0" applyFont="1" applyFill="1" applyBorder="1"/>
    <xf numFmtId="0" fontId="16" fillId="0" borderId="4" xfId="0" applyFont="1" applyFill="1" applyBorder="1"/>
    <xf numFmtId="0" fontId="16" fillId="0" borderId="9" xfId="0" applyFont="1" applyFill="1" applyBorder="1"/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6" fillId="0" borderId="10" xfId="0" applyFont="1" applyFill="1" applyBorder="1"/>
    <xf numFmtId="165" fontId="3" fillId="0" borderId="1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165" fontId="3" fillId="0" borderId="35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165" fontId="3" fillId="0" borderId="36" xfId="0" applyNumberFormat="1" applyFont="1" applyFill="1" applyBorder="1" applyAlignment="1">
      <alignment horizontal="center" vertical="center"/>
    </xf>
    <xf numFmtId="167" fontId="3" fillId="0" borderId="13" xfId="0" applyNumberFormat="1" applyFont="1" applyFill="1" applyBorder="1" applyAlignment="1">
      <alignment horizontal="center" vertical="center"/>
    </xf>
    <xf numFmtId="167" fontId="3" fillId="0" borderId="35" xfId="0" applyNumberFormat="1" applyFont="1" applyFill="1" applyBorder="1" applyAlignment="1">
      <alignment horizontal="center" vertical="center"/>
    </xf>
    <xf numFmtId="0" fontId="5" fillId="0" borderId="5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164" fontId="3" fillId="0" borderId="26" xfId="0" applyNumberFormat="1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166" fontId="13" fillId="0" borderId="20" xfId="0" applyNumberFormat="1" applyFont="1" applyFill="1" applyBorder="1" applyAlignment="1">
      <alignment horizontal="center" vertical="center"/>
    </xf>
    <xf numFmtId="166" fontId="17" fillId="0" borderId="22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1" fontId="17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164" fontId="17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166" fontId="17" fillId="0" borderId="0" xfId="0" applyNumberFormat="1" applyFont="1" applyFill="1" applyBorder="1" applyAlignment="1">
      <alignment horizontal="left" vertical="center"/>
    </xf>
    <xf numFmtId="1" fontId="17" fillId="0" borderId="23" xfId="0" applyNumberFormat="1" applyFont="1" applyFill="1" applyBorder="1" applyAlignment="1">
      <alignment horizontal="right" vertical="center"/>
    </xf>
    <xf numFmtId="1" fontId="17" fillId="0" borderId="26" xfId="0" applyNumberFormat="1" applyFont="1" applyFill="1" applyBorder="1" applyAlignment="1">
      <alignment horizontal="right" vertical="center"/>
    </xf>
    <xf numFmtId="0" fontId="15" fillId="0" borderId="33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166" fontId="4" fillId="0" borderId="38" xfId="0" applyNumberFormat="1" applyFont="1" applyFill="1" applyBorder="1" applyAlignment="1">
      <alignment horizontal="center" vertical="center"/>
    </xf>
    <xf numFmtId="1" fontId="3" fillId="0" borderId="39" xfId="0" applyNumberFormat="1" applyFont="1" applyFill="1" applyBorder="1" applyAlignment="1">
      <alignment horizontal="center" vertical="center"/>
    </xf>
    <xf numFmtId="1" fontId="3" fillId="0" borderId="40" xfId="0" applyNumberFormat="1" applyFont="1" applyFill="1" applyBorder="1" applyAlignment="1">
      <alignment horizontal="center" vertical="center"/>
    </xf>
    <xf numFmtId="169" fontId="3" fillId="0" borderId="31" xfId="0" applyNumberFormat="1" applyFont="1" applyFill="1" applyBorder="1" applyAlignment="1">
      <alignment horizontal="center" vertical="center"/>
    </xf>
    <xf numFmtId="176" fontId="3" fillId="0" borderId="31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right" vertical="center"/>
    </xf>
    <xf numFmtId="167" fontId="4" fillId="0" borderId="13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7" fontId="3" fillId="0" borderId="14" xfId="0" applyNumberFormat="1" applyFont="1" applyFill="1" applyBorder="1" applyAlignment="1">
      <alignment horizontal="center" vertical="center"/>
    </xf>
    <xf numFmtId="167" fontId="4" fillId="0" borderId="27" xfId="0" applyNumberFormat="1" applyFont="1" applyFill="1" applyBorder="1" applyAlignment="1">
      <alignment horizontal="center" vertical="center"/>
    </xf>
    <xf numFmtId="167" fontId="3" fillId="0" borderId="36" xfId="0" applyNumberFormat="1" applyFont="1" applyFill="1" applyBorder="1" applyAlignment="1">
      <alignment horizontal="center" vertical="center"/>
    </xf>
  </cellXfs>
  <cellStyles count="2">
    <cellStyle name="Денежный 2" xfId="1"/>
    <cellStyle name="Обычный" xfId="0" builtinId="0"/>
  </cellStyles>
  <dxfs count="0"/>
  <tableStyles count="0" defaultTableStyle="TableStyleMedium2" defaultPivotStyle="PivotStyleMedium9"/>
  <colors>
    <mruColors>
      <color rgb="FFD3E2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abSelected="1" zoomScale="70" zoomScaleNormal="70" workbookViewId="0">
      <selection activeCell="AF22" sqref="AF22"/>
    </sheetView>
  </sheetViews>
  <sheetFormatPr defaultRowHeight="15" x14ac:dyDescent="0.25"/>
  <cols>
    <col min="1" max="1" width="30.140625" style="1" customWidth="1"/>
    <col min="2" max="2" width="10.42578125" style="1" customWidth="1"/>
    <col min="3" max="3" width="13.85546875" style="47" customWidth="1"/>
    <col min="4" max="4" width="10.140625" style="47" bestFit="1" customWidth="1"/>
    <col min="5" max="5" width="9" style="47" customWidth="1"/>
    <col min="6" max="7" width="13.85546875" style="47" customWidth="1"/>
    <col min="8" max="10" width="9.7109375" style="1" customWidth="1"/>
    <col min="11" max="11" width="10.5703125" style="1" customWidth="1"/>
    <col min="12" max="14" width="9.7109375" style="1" customWidth="1"/>
    <col min="15" max="15" width="10.5703125" style="1" bestFit="1" customWidth="1"/>
    <col min="16" max="17" width="10.5703125" style="1" customWidth="1"/>
    <col min="18" max="23" width="9.7109375" style="1" customWidth="1"/>
    <col min="24" max="24" width="9.7109375" style="1" hidden="1" customWidth="1"/>
    <col min="25" max="25" width="10.28515625" style="1" hidden="1" customWidth="1"/>
    <col min="26" max="26" width="9.7109375" style="1" hidden="1" customWidth="1"/>
    <col min="27" max="27" width="17.28515625" style="1" hidden="1" customWidth="1"/>
    <col min="28" max="28" width="9.7109375" style="1" hidden="1" customWidth="1"/>
    <col min="29" max="29" width="13" style="1" hidden="1" customWidth="1"/>
    <col min="30" max="30" width="9.7109375" style="1" customWidth="1"/>
    <col min="31" max="31" width="15.85546875" style="1" customWidth="1"/>
    <col min="32" max="32" width="12.7109375" style="1" customWidth="1"/>
    <col min="33" max="16384" width="9.140625" style="1"/>
  </cols>
  <sheetData>
    <row r="1" spans="1:32" s="2" customFormat="1" ht="29.25" customHeight="1" x14ac:dyDescent="0.25">
      <c r="C1" s="43"/>
      <c r="D1" s="43"/>
      <c r="E1" s="43"/>
      <c r="F1" s="43"/>
      <c r="G1" s="43"/>
      <c r="Y1" s="13" t="s">
        <v>9</v>
      </c>
      <c r="Z1" s="13"/>
      <c r="AA1" s="13"/>
      <c r="AB1" s="13"/>
      <c r="AC1" s="13"/>
      <c r="AD1" s="13"/>
      <c r="AE1" s="13"/>
    </row>
    <row r="2" spans="1:32" ht="42.75" customHeight="1" thickBot="1" x14ac:dyDescent="0.3">
      <c r="A2" s="60" t="s">
        <v>13</v>
      </c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26"/>
      <c r="AA2" s="26"/>
      <c r="AB2" s="26"/>
      <c r="AC2" s="26"/>
      <c r="AD2" s="26"/>
      <c r="AE2" s="26"/>
      <c r="AF2" s="6"/>
    </row>
    <row r="3" spans="1:32" ht="20.100000000000001" customHeight="1" thickBot="1" x14ac:dyDescent="0.3">
      <c r="A3" s="129" t="s">
        <v>2</v>
      </c>
      <c r="B3" s="127" t="s">
        <v>11</v>
      </c>
      <c r="C3" s="128"/>
      <c r="D3" s="86" t="s">
        <v>5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8"/>
      <c r="AF3" s="107" t="s">
        <v>10</v>
      </c>
    </row>
    <row r="4" spans="1:32" ht="69.75" customHeight="1" thickBot="1" x14ac:dyDescent="0.3">
      <c r="A4" s="130"/>
      <c r="B4" s="85"/>
      <c r="C4" s="83"/>
      <c r="D4" s="81" t="s">
        <v>41</v>
      </c>
      <c r="E4" s="82"/>
      <c r="F4" s="81" t="s">
        <v>23</v>
      </c>
      <c r="G4" s="82"/>
      <c r="H4" s="66" t="s">
        <v>22</v>
      </c>
      <c r="I4" s="83"/>
      <c r="J4" s="66" t="s">
        <v>28</v>
      </c>
      <c r="K4" s="83"/>
      <c r="L4" s="66" t="s">
        <v>27</v>
      </c>
      <c r="M4" s="83"/>
      <c r="N4" s="66" t="s">
        <v>26</v>
      </c>
      <c r="O4" s="83"/>
      <c r="P4" s="66" t="s">
        <v>32</v>
      </c>
      <c r="Q4" s="83"/>
      <c r="R4" s="66" t="s">
        <v>25</v>
      </c>
      <c r="S4" s="83"/>
      <c r="T4" s="66" t="s">
        <v>34</v>
      </c>
      <c r="U4" s="83"/>
      <c r="V4" s="66" t="s">
        <v>24</v>
      </c>
      <c r="W4" s="84"/>
      <c r="X4" s="81" t="s">
        <v>29</v>
      </c>
      <c r="Y4" s="82"/>
      <c r="Z4" s="85" t="s">
        <v>30</v>
      </c>
      <c r="AA4" s="84"/>
      <c r="AB4" s="85" t="s">
        <v>31</v>
      </c>
      <c r="AC4" s="84"/>
      <c r="AD4" s="85" t="s">
        <v>33</v>
      </c>
      <c r="AE4" s="105"/>
      <c r="AF4" s="108"/>
    </row>
    <row r="5" spans="1:32" ht="15.75" x14ac:dyDescent="0.25">
      <c r="A5" s="58" t="s">
        <v>1</v>
      </c>
      <c r="B5" s="58" t="s">
        <v>3</v>
      </c>
      <c r="C5" s="62"/>
      <c r="D5" s="50" t="s">
        <v>7</v>
      </c>
      <c r="E5" s="52" t="s">
        <v>0</v>
      </c>
      <c r="F5" s="50" t="s">
        <v>7</v>
      </c>
      <c r="G5" s="52" t="s">
        <v>0</v>
      </c>
      <c r="H5" s="50" t="s">
        <v>7</v>
      </c>
      <c r="I5" s="52" t="s">
        <v>0</v>
      </c>
      <c r="J5" s="50" t="s">
        <v>7</v>
      </c>
      <c r="K5" s="52" t="s">
        <v>0</v>
      </c>
      <c r="L5" s="50" t="s">
        <v>7</v>
      </c>
      <c r="M5" s="56" t="s">
        <v>0</v>
      </c>
      <c r="N5" s="50" t="s">
        <v>7</v>
      </c>
      <c r="O5" s="52" t="s">
        <v>0</v>
      </c>
      <c r="P5" s="50" t="s">
        <v>7</v>
      </c>
      <c r="Q5" s="52" t="s">
        <v>0</v>
      </c>
      <c r="R5" s="50" t="s">
        <v>7</v>
      </c>
      <c r="S5" s="52" t="s">
        <v>0</v>
      </c>
      <c r="T5" s="50" t="s">
        <v>7</v>
      </c>
      <c r="U5" s="52" t="s">
        <v>0</v>
      </c>
      <c r="V5" s="50" t="s">
        <v>7</v>
      </c>
      <c r="W5" s="52" t="s">
        <v>0</v>
      </c>
      <c r="X5" s="69" t="s">
        <v>7</v>
      </c>
      <c r="Y5" s="137" t="s">
        <v>0</v>
      </c>
      <c r="Z5" s="136" t="s">
        <v>7</v>
      </c>
      <c r="AA5" s="137" t="s">
        <v>0</v>
      </c>
      <c r="AB5" s="136" t="s">
        <v>7</v>
      </c>
      <c r="AC5" s="56" t="s">
        <v>0</v>
      </c>
      <c r="AD5" s="50" t="s">
        <v>7</v>
      </c>
      <c r="AE5" s="52" t="s">
        <v>0</v>
      </c>
      <c r="AF5" s="120"/>
    </row>
    <row r="6" spans="1:32" ht="15.75" x14ac:dyDescent="0.25">
      <c r="A6" s="59"/>
      <c r="B6" s="24" t="s">
        <v>14</v>
      </c>
      <c r="C6" s="23" t="s">
        <v>12</v>
      </c>
      <c r="D6" s="51"/>
      <c r="E6" s="53"/>
      <c r="F6" s="51"/>
      <c r="G6" s="53"/>
      <c r="H6" s="51"/>
      <c r="I6" s="53"/>
      <c r="J6" s="51"/>
      <c r="K6" s="53"/>
      <c r="L6" s="51"/>
      <c r="M6" s="57"/>
      <c r="N6" s="51"/>
      <c r="O6" s="53"/>
      <c r="P6" s="51"/>
      <c r="Q6" s="53"/>
      <c r="R6" s="51"/>
      <c r="S6" s="53"/>
      <c r="T6" s="51"/>
      <c r="U6" s="53"/>
      <c r="V6" s="51"/>
      <c r="W6" s="53"/>
      <c r="X6" s="70"/>
      <c r="Y6" s="75"/>
      <c r="Z6" s="74"/>
      <c r="AA6" s="75"/>
      <c r="AB6" s="74"/>
      <c r="AC6" s="57"/>
      <c r="AD6" s="51"/>
      <c r="AE6" s="53"/>
      <c r="AF6" s="121"/>
    </row>
    <row r="7" spans="1:32" s="22" customFormat="1" ht="15.75" x14ac:dyDescent="0.25">
      <c r="A7" s="131" t="s">
        <v>15</v>
      </c>
      <c r="B7" s="12">
        <v>16</v>
      </c>
      <c r="C7" s="25">
        <f>64.67*B7</f>
        <v>1034.72</v>
      </c>
      <c r="D7" s="90"/>
      <c r="E7" s="91"/>
      <c r="F7" s="90"/>
      <c r="G7" s="91"/>
      <c r="H7" s="64">
        <f>6.73/1000</f>
        <v>6.7300000000000007E-3</v>
      </c>
      <c r="I7" s="17">
        <f>B7*H7</f>
        <v>0.10768000000000001</v>
      </c>
      <c r="J7" s="64">
        <f>3.04/1000</f>
        <v>3.0400000000000002E-3</v>
      </c>
      <c r="K7" s="17">
        <f>J7*B7</f>
        <v>4.8640000000000003E-2</v>
      </c>
      <c r="L7" s="64">
        <f>1.075/1000</f>
        <v>1.075E-3</v>
      </c>
      <c r="M7" s="95">
        <f>L7*B7</f>
        <v>1.72E-2</v>
      </c>
      <c r="N7" s="64">
        <f>1.06/1000</f>
        <v>1.06E-3</v>
      </c>
      <c r="O7" s="17">
        <f>N7*B7</f>
        <v>1.6959999999999999E-2</v>
      </c>
      <c r="P7" s="67"/>
      <c r="Q7" s="17"/>
      <c r="R7" s="90"/>
      <c r="S7" s="91"/>
      <c r="T7" s="90"/>
      <c r="U7" s="91"/>
      <c r="V7" s="30"/>
      <c r="W7" s="28"/>
      <c r="X7" s="71"/>
      <c r="Y7" s="77"/>
      <c r="Z7" s="77"/>
      <c r="AA7" s="77"/>
      <c r="AB7" s="77"/>
      <c r="AC7" s="29"/>
      <c r="AD7" s="27"/>
      <c r="AE7" s="28"/>
      <c r="AF7" s="122">
        <f>H7+J7+L7+N7</f>
        <v>1.1905000000000001E-2</v>
      </c>
    </row>
    <row r="8" spans="1:32" s="22" customFormat="1" ht="15.75" x14ac:dyDescent="0.25">
      <c r="A8" s="131" t="s">
        <v>16</v>
      </c>
      <c r="B8" s="12">
        <v>2</v>
      </c>
      <c r="C8" s="25">
        <f>22.05*B8</f>
        <v>44.1</v>
      </c>
      <c r="D8" s="12"/>
      <c r="E8" s="25"/>
      <c r="F8" s="12"/>
      <c r="G8" s="25"/>
      <c r="H8" s="64">
        <f t="shared" ref="H8:H11" si="0">6.73/1000</f>
        <v>6.7300000000000007E-3</v>
      </c>
      <c r="I8" s="17">
        <f>B8*H8</f>
        <v>1.3460000000000001E-2</v>
      </c>
      <c r="J8" s="64">
        <f t="shared" ref="J8:J11" si="1">3.04/1000</f>
        <v>3.0400000000000002E-3</v>
      </c>
      <c r="K8" s="17">
        <f>J8*B8</f>
        <v>6.0800000000000003E-3</v>
      </c>
      <c r="L8" s="64">
        <f t="shared" ref="L8:L11" si="2">1.075/1000</f>
        <v>1.075E-3</v>
      </c>
      <c r="M8" s="95">
        <f>L8*B8</f>
        <v>2.15E-3</v>
      </c>
      <c r="N8" s="64">
        <f t="shared" ref="N8:N11" si="3">1.06/1000</f>
        <v>1.06E-3</v>
      </c>
      <c r="O8" s="17">
        <f>N8*B8</f>
        <v>2.1199999999999999E-3</v>
      </c>
      <c r="P8" s="67"/>
      <c r="Q8" s="17"/>
      <c r="R8" s="30"/>
      <c r="S8" s="28"/>
      <c r="T8" s="27"/>
      <c r="U8" s="28"/>
      <c r="V8" s="30"/>
      <c r="W8" s="28"/>
      <c r="X8" s="71"/>
      <c r="Y8" s="77"/>
      <c r="Z8" s="77"/>
      <c r="AA8" s="77"/>
      <c r="AB8" s="77"/>
      <c r="AC8" s="29"/>
      <c r="AD8" s="27"/>
      <c r="AE8" s="28"/>
      <c r="AF8" s="122">
        <f>H8+J8+L8+N8</f>
        <v>1.1905000000000001E-2</v>
      </c>
    </row>
    <row r="9" spans="1:32" s="22" customFormat="1" ht="15.75" x14ac:dyDescent="0.25">
      <c r="A9" s="131" t="s">
        <v>17</v>
      </c>
      <c r="B9" s="12">
        <v>4</v>
      </c>
      <c r="C9" s="25">
        <f>63.55*B9</f>
        <v>254.2</v>
      </c>
      <c r="D9" s="12"/>
      <c r="E9" s="25"/>
      <c r="F9" s="12"/>
      <c r="G9" s="25"/>
      <c r="H9" s="64">
        <f t="shared" si="0"/>
        <v>6.7300000000000007E-3</v>
      </c>
      <c r="I9" s="17">
        <f t="shared" ref="I9:I11" si="4">B9*H9</f>
        <v>2.6920000000000003E-2</v>
      </c>
      <c r="J9" s="64">
        <f t="shared" si="1"/>
        <v>3.0400000000000002E-3</v>
      </c>
      <c r="K9" s="17">
        <f t="shared" ref="K9:K11" si="5">J9*B9</f>
        <v>1.2160000000000001E-2</v>
      </c>
      <c r="L9" s="64">
        <f t="shared" si="2"/>
        <v>1.075E-3</v>
      </c>
      <c r="M9" s="95">
        <f t="shared" ref="M9:M11" si="6">L9*B9</f>
        <v>4.3E-3</v>
      </c>
      <c r="N9" s="64">
        <f t="shared" si="3"/>
        <v>1.06E-3</v>
      </c>
      <c r="O9" s="17">
        <f t="shared" ref="O9" si="7">N9*B9</f>
        <v>4.2399999999999998E-3</v>
      </c>
      <c r="P9" s="67"/>
      <c r="Q9" s="17"/>
      <c r="R9" s="64"/>
      <c r="S9" s="28"/>
      <c r="T9" s="27"/>
      <c r="U9" s="28"/>
      <c r="V9" s="30"/>
      <c r="W9" s="28"/>
      <c r="X9" s="71"/>
      <c r="Y9" s="77"/>
      <c r="Z9" s="31"/>
      <c r="AA9" s="77"/>
      <c r="AB9" s="31"/>
      <c r="AC9" s="29"/>
      <c r="AD9" s="27"/>
      <c r="AE9" s="28"/>
      <c r="AF9" s="122">
        <f>H9+J9+L9+N9</f>
        <v>1.1905000000000001E-2</v>
      </c>
    </row>
    <row r="10" spans="1:32" s="22" customFormat="1" ht="15.75" x14ac:dyDescent="0.25">
      <c r="A10" s="131" t="s">
        <v>18</v>
      </c>
      <c r="B10" s="12">
        <v>1</v>
      </c>
      <c r="C10" s="25">
        <f>21.45*B10</f>
        <v>21.45</v>
      </c>
      <c r="D10" s="12"/>
      <c r="E10" s="25"/>
      <c r="F10" s="12"/>
      <c r="G10" s="25"/>
      <c r="H10" s="64">
        <f t="shared" si="0"/>
        <v>6.7300000000000007E-3</v>
      </c>
      <c r="I10" s="17">
        <f t="shared" si="4"/>
        <v>6.7300000000000007E-3</v>
      </c>
      <c r="J10" s="64">
        <f t="shared" si="1"/>
        <v>3.0400000000000002E-3</v>
      </c>
      <c r="K10" s="17">
        <f t="shared" si="5"/>
        <v>3.0400000000000002E-3</v>
      </c>
      <c r="L10" s="64">
        <f t="shared" si="2"/>
        <v>1.075E-3</v>
      </c>
      <c r="M10" s="95">
        <f t="shared" si="6"/>
        <v>1.075E-3</v>
      </c>
      <c r="N10" s="64">
        <f t="shared" si="3"/>
        <v>1.06E-3</v>
      </c>
      <c r="O10" s="17">
        <f>N10*B10</f>
        <v>1.06E-3</v>
      </c>
      <c r="P10" s="67"/>
      <c r="Q10" s="17"/>
      <c r="R10" s="64">
        <f>1.41/1000</f>
        <v>1.41E-3</v>
      </c>
      <c r="S10" s="40">
        <f>R10*B7</f>
        <v>2.256E-2</v>
      </c>
      <c r="T10" s="38"/>
      <c r="U10" s="40"/>
      <c r="V10" s="30"/>
      <c r="W10" s="28"/>
      <c r="X10" s="71"/>
      <c r="Y10" s="77"/>
      <c r="Z10" s="77"/>
      <c r="AA10" s="77"/>
      <c r="AB10" s="77"/>
      <c r="AC10" s="29"/>
      <c r="AD10" s="27"/>
      <c r="AE10" s="28"/>
      <c r="AF10" s="122">
        <f>H10+J10+L10+N10+R10</f>
        <v>1.3315E-2</v>
      </c>
    </row>
    <row r="11" spans="1:32" s="22" customFormat="1" ht="47.25" x14ac:dyDescent="0.25">
      <c r="A11" s="132" t="s">
        <v>19</v>
      </c>
      <c r="B11" s="12">
        <v>3</v>
      </c>
      <c r="C11" s="25">
        <f>25.9*B11</f>
        <v>77.699999999999989</v>
      </c>
      <c r="D11" s="12"/>
      <c r="E11" s="25"/>
      <c r="F11" s="12"/>
      <c r="G11" s="25"/>
      <c r="H11" s="64">
        <f t="shared" si="0"/>
        <v>6.7300000000000007E-3</v>
      </c>
      <c r="I11" s="17">
        <f t="shared" si="4"/>
        <v>2.0190000000000003E-2</v>
      </c>
      <c r="J11" s="64">
        <f t="shared" si="1"/>
        <v>3.0400000000000002E-3</v>
      </c>
      <c r="K11" s="17">
        <f t="shared" si="5"/>
        <v>9.1199999999999996E-3</v>
      </c>
      <c r="L11" s="64">
        <f t="shared" si="2"/>
        <v>1.075E-3</v>
      </c>
      <c r="M11" s="95">
        <f t="shared" si="6"/>
        <v>3.225E-3</v>
      </c>
      <c r="N11" s="64">
        <f t="shared" si="3"/>
        <v>1.06E-3</v>
      </c>
      <c r="O11" s="17">
        <f>N11*B11</f>
        <v>3.1799999999999997E-3</v>
      </c>
      <c r="P11" s="67"/>
      <c r="Q11" s="17"/>
      <c r="R11" s="30"/>
      <c r="S11" s="40"/>
      <c r="T11" s="38"/>
      <c r="U11" s="40"/>
      <c r="V11" s="90"/>
      <c r="W11" s="91"/>
      <c r="X11" s="63"/>
      <c r="Y11" s="78"/>
      <c r="Z11" s="78"/>
      <c r="AA11" s="78"/>
      <c r="AB11" s="78"/>
      <c r="AC11" s="39"/>
      <c r="AD11" s="38"/>
      <c r="AE11" s="40"/>
      <c r="AF11" s="122">
        <f>H11+J11+L11+N11</f>
        <v>1.1905000000000001E-2</v>
      </c>
    </row>
    <row r="12" spans="1:32" s="22" customFormat="1" ht="15.75" x14ac:dyDescent="0.25">
      <c r="A12" s="131" t="s">
        <v>20</v>
      </c>
      <c r="B12" s="30">
        <v>24</v>
      </c>
      <c r="C12" s="25">
        <f>17.22*B12</f>
        <v>413.28</v>
      </c>
      <c r="D12" s="12"/>
      <c r="E12" s="25"/>
      <c r="F12" s="12">
        <f>17.22/1000</f>
        <v>1.7219999999999999E-2</v>
      </c>
      <c r="G12" s="25">
        <f>F12*B12</f>
        <v>0.41327999999999998</v>
      </c>
      <c r="H12" s="15"/>
      <c r="I12" s="16"/>
      <c r="J12" s="15"/>
      <c r="K12" s="16"/>
      <c r="L12" s="15"/>
      <c r="M12" s="96"/>
      <c r="N12" s="15"/>
      <c r="O12" s="16"/>
      <c r="P12" s="42">
        <f>0.19/1000</f>
        <v>1.9000000000000001E-4</v>
      </c>
      <c r="Q12" s="17">
        <f>P12*B12</f>
        <v>4.5599999999999998E-3</v>
      </c>
      <c r="R12" s="64">
        <f>1.41/1000</f>
        <v>1.41E-3</v>
      </c>
      <c r="S12" s="40">
        <f>R12*B9</f>
        <v>5.64E-3</v>
      </c>
      <c r="T12" s="90"/>
      <c r="U12" s="91"/>
      <c r="V12" s="15">
        <f>2.26/1000</f>
        <v>2.2599999999999999E-3</v>
      </c>
      <c r="W12" s="16">
        <f>V12*B12</f>
        <v>5.4239999999999997E-2</v>
      </c>
      <c r="X12" s="89"/>
      <c r="Y12" s="76"/>
      <c r="Z12" s="76"/>
      <c r="AA12" s="76"/>
      <c r="AB12" s="76"/>
      <c r="AC12" s="94"/>
      <c r="AD12" s="90"/>
      <c r="AE12" s="91"/>
      <c r="AF12" s="122">
        <f>F12+P12+R12+V12+X14+Z14+AB14+AD14</f>
        <v>2.2659999999999996E-2</v>
      </c>
    </row>
    <row r="13" spans="1:32" s="22" customFormat="1" ht="15.75" x14ac:dyDescent="0.25">
      <c r="A13" s="131" t="s">
        <v>40</v>
      </c>
      <c r="B13" s="30">
        <v>6</v>
      </c>
      <c r="C13" s="25">
        <f>4*B13</f>
        <v>24</v>
      </c>
      <c r="D13" s="12">
        <f>42.34/1000</f>
        <v>4.2340000000000003E-2</v>
      </c>
      <c r="E13" s="25">
        <f>D13*B13</f>
        <v>0.25404000000000004</v>
      </c>
      <c r="F13" s="12"/>
      <c r="G13" s="25"/>
      <c r="H13" s="15"/>
      <c r="I13" s="16"/>
      <c r="J13" s="15"/>
      <c r="K13" s="16"/>
      <c r="L13" s="15"/>
      <c r="M13" s="96"/>
      <c r="N13" s="15"/>
      <c r="O13" s="16"/>
      <c r="P13" s="42"/>
      <c r="Q13" s="17"/>
      <c r="R13" s="64">
        <f>1.41/1000</f>
        <v>1.41E-3</v>
      </c>
      <c r="S13" s="40">
        <f>R13*B13</f>
        <v>8.4600000000000005E-3</v>
      </c>
      <c r="T13" s="90"/>
      <c r="U13" s="91"/>
      <c r="V13" s="15">
        <f>6.28/1000</f>
        <v>6.28E-3</v>
      </c>
      <c r="W13" s="16">
        <f>V13*B13</f>
        <v>3.7679999999999998E-2</v>
      </c>
      <c r="X13" s="89"/>
      <c r="Y13" s="76"/>
      <c r="Z13" s="76"/>
      <c r="AA13" s="76"/>
      <c r="AB13" s="76"/>
      <c r="AC13" s="94"/>
      <c r="AD13" s="90"/>
      <c r="AE13" s="91"/>
      <c r="AF13" s="122">
        <f>F13+P13+R13+V13+X20+Z20+AB20+AD20</f>
        <v>7.6899999999999998E-3</v>
      </c>
    </row>
    <row r="14" spans="1:32" s="22" customFormat="1" ht="15.75" x14ac:dyDescent="0.25">
      <c r="A14" s="131" t="s">
        <v>21</v>
      </c>
      <c r="B14" s="12">
        <v>18</v>
      </c>
      <c r="C14" s="25" t="s">
        <v>35</v>
      </c>
      <c r="D14" s="12"/>
      <c r="E14" s="25"/>
      <c r="F14" s="12"/>
      <c r="G14" s="25"/>
      <c r="H14" s="15"/>
      <c r="I14" s="16"/>
      <c r="J14" s="15"/>
      <c r="K14" s="16"/>
      <c r="L14" s="42">
        <f>0.19/1000</f>
        <v>1.9000000000000001E-4</v>
      </c>
      <c r="M14" s="96">
        <f>L14*B14</f>
        <v>3.4200000000000003E-3</v>
      </c>
      <c r="N14" s="15"/>
      <c r="O14" s="16"/>
      <c r="P14" s="18"/>
      <c r="Q14" s="16"/>
      <c r="R14" s="20"/>
      <c r="S14" s="17"/>
      <c r="T14" s="38">
        <f>0.22/1000</f>
        <v>2.2000000000000001E-4</v>
      </c>
      <c r="U14" s="40">
        <f>T14*B14</f>
        <v>3.96E-3</v>
      </c>
      <c r="V14" s="30"/>
      <c r="W14" s="28"/>
      <c r="X14" s="97">
        <f>0.72/1000</f>
        <v>7.1999999999999994E-4</v>
      </c>
      <c r="Y14" s="79">
        <f>X14*B12</f>
        <v>1.7279999999999997E-2</v>
      </c>
      <c r="Z14" s="80">
        <f>0.11/1000</f>
        <v>1.1E-4</v>
      </c>
      <c r="AA14" s="79">
        <f>Z14*B12</f>
        <v>2.64E-3</v>
      </c>
      <c r="AB14" s="80">
        <f>0.03/1000</f>
        <v>2.9999999999999997E-5</v>
      </c>
      <c r="AC14" s="41">
        <f>AB14*B12</f>
        <v>7.1999999999999994E-4</v>
      </c>
      <c r="AD14" s="20">
        <f>0.72/1000</f>
        <v>7.1999999999999994E-4</v>
      </c>
      <c r="AE14" s="19">
        <f>AD14*B12</f>
        <v>1.7279999999999997E-2</v>
      </c>
      <c r="AF14" s="122">
        <f>L14+T14+X14+Z14+AB14+AD14</f>
        <v>1.99E-3</v>
      </c>
    </row>
    <row r="15" spans="1:32" s="22" customFormat="1" ht="15.75" x14ac:dyDescent="0.25">
      <c r="A15" s="131" t="s">
        <v>37</v>
      </c>
      <c r="B15" s="12">
        <v>85</v>
      </c>
      <c r="C15" s="25">
        <f>64.67*B15</f>
        <v>5496.95</v>
      </c>
      <c r="D15" s="12"/>
      <c r="E15" s="25"/>
      <c r="F15" s="90"/>
      <c r="G15" s="91"/>
      <c r="H15" s="64">
        <f>6.73/1000</f>
        <v>6.7300000000000007E-3</v>
      </c>
      <c r="I15" s="17">
        <f>B15*H15</f>
        <v>0.57205000000000006</v>
      </c>
      <c r="J15" s="64">
        <f>3.04/1000</f>
        <v>3.0400000000000002E-3</v>
      </c>
      <c r="K15" s="17">
        <f>J15*B15</f>
        <v>0.25840000000000002</v>
      </c>
      <c r="L15" s="64">
        <f>1.075/1000</f>
        <v>1.075E-3</v>
      </c>
      <c r="M15" s="95">
        <f>L15*B15</f>
        <v>9.1374999999999998E-2</v>
      </c>
      <c r="N15" s="64"/>
      <c r="O15" s="17"/>
      <c r="P15" s="67"/>
      <c r="Q15" s="17"/>
      <c r="R15" s="90"/>
      <c r="S15" s="91"/>
      <c r="T15" s="90"/>
      <c r="U15" s="91"/>
      <c r="V15" s="30"/>
      <c r="W15" s="28"/>
      <c r="X15" s="71"/>
      <c r="Y15" s="77"/>
      <c r="Z15" s="77"/>
      <c r="AA15" s="77"/>
      <c r="AB15" s="77"/>
      <c r="AC15" s="29"/>
      <c r="AD15" s="27"/>
      <c r="AE15" s="28"/>
      <c r="AF15" s="122">
        <f>H15+J15+L15+N15</f>
        <v>1.0845E-2</v>
      </c>
    </row>
    <row r="16" spans="1:32" s="22" customFormat="1" ht="15.75" x14ac:dyDescent="0.25">
      <c r="A16" s="131" t="s">
        <v>38</v>
      </c>
      <c r="B16" s="12">
        <v>88</v>
      </c>
      <c r="C16" s="25">
        <f>22.05*B16</f>
        <v>1940.4</v>
      </c>
      <c r="D16" s="12"/>
      <c r="E16" s="25"/>
      <c r="F16" s="12">
        <f>14.58/1000</f>
        <v>1.4579999999999999E-2</v>
      </c>
      <c r="G16" s="25">
        <f>F16*B16</f>
        <v>1.28304</v>
      </c>
      <c r="H16" s="64">
        <f t="shared" ref="H16:H18" si="8">6.73/1000</f>
        <v>6.7300000000000007E-3</v>
      </c>
      <c r="I16" s="17">
        <f>B16*H16</f>
        <v>0.5922400000000001</v>
      </c>
      <c r="J16" s="64">
        <f t="shared" ref="J16:J18" si="9">3.04/1000</f>
        <v>3.0400000000000002E-3</v>
      </c>
      <c r="K16" s="17">
        <f>J16*B16</f>
        <v>0.26752000000000004</v>
      </c>
      <c r="L16" s="64">
        <f t="shared" ref="L16:L17" si="10">1.075/1000</f>
        <v>1.075E-3</v>
      </c>
      <c r="M16" s="95">
        <f>L16*B16</f>
        <v>9.4600000000000004E-2</v>
      </c>
      <c r="N16" s="64">
        <f t="shared" ref="N16:N17" si="11">1.06/1000</f>
        <v>1.06E-3</v>
      </c>
      <c r="O16" s="17">
        <f>N16*B16</f>
        <v>9.3280000000000002E-2</v>
      </c>
      <c r="P16" s="67"/>
      <c r="Q16" s="17"/>
      <c r="R16" s="30">
        <f>1.41/1000</f>
        <v>1.41E-3</v>
      </c>
      <c r="S16" s="28">
        <f>R16*B16</f>
        <v>0.12408</v>
      </c>
      <c r="T16" s="27"/>
      <c r="U16" s="28"/>
      <c r="V16" s="30">
        <f>2.26/1000</f>
        <v>2.2599999999999999E-3</v>
      </c>
      <c r="W16" s="28">
        <f>V16*B16</f>
        <v>0.19888</v>
      </c>
      <c r="X16" s="71"/>
      <c r="Y16" s="77"/>
      <c r="Z16" s="77"/>
      <c r="AA16" s="77"/>
      <c r="AB16" s="77"/>
      <c r="AC16" s="29"/>
      <c r="AD16" s="27"/>
      <c r="AE16" s="28"/>
      <c r="AF16" s="122">
        <f>H16+J16+L16+N16</f>
        <v>1.1905000000000001E-2</v>
      </c>
    </row>
    <row r="17" spans="1:32" s="22" customFormat="1" ht="31.5" x14ac:dyDescent="0.25">
      <c r="A17" s="132" t="s">
        <v>39</v>
      </c>
      <c r="B17" s="12">
        <v>3</v>
      </c>
      <c r="C17" s="25">
        <f>63.55*B17</f>
        <v>190.64999999999998</v>
      </c>
      <c r="D17" s="12"/>
      <c r="E17" s="25"/>
      <c r="F17" s="12"/>
      <c r="G17" s="25"/>
      <c r="H17" s="64">
        <f t="shared" si="8"/>
        <v>6.7300000000000007E-3</v>
      </c>
      <c r="I17" s="17">
        <f t="shared" ref="I17" si="12">B17*H17</f>
        <v>2.0190000000000003E-2</v>
      </c>
      <c r="J17" s="64">
        <f t="shared" si="9"/>
        <v>3.0400000000000002E-3</v>
      </c>
      <c r="K17" s="17">
        <f t="shared" ref="K17" si="13">J17*B17</f>
        <v>9.1199999999999996E-3</v>
      </c>
      <c r="L17" s="64">
        <f t="shared" si="10"/>
        <v>1.075E-3</v>
      </c>
      <c r="M17" s="95">
        <f t="shared" ref="M17" si="14">L17*B17</f>
        <v>3.225E-3</v>
      </c>
      <c r="N17" s="64">
        <f t="shared" si="11"/>
        <v>1.06E-3</v>
      </c>
      <c r="O17" s="17">
        <f t="shared" ref="O17" si="15">N17*B17</f>
        <v>3.1799999999999997E-3</v>
      </c>
      <c r="P17" s="67"/>
      <c r="Q17" s="17"/>
      <c r="R17" s="64"/>
      <c r="S17" s="28"/>
      <c r="T17" s="27"/>
      <c r="U17" s="28"/>
      <c r="V17" s="30"/>
      <c r="W17" s="28"/>
      <c r="X17" s="71"/>
      <c r="Y17" s="77"/>
      <c r="Z17" s="31"/>
      <c r="AA17" s="77"/>
      <c r="AB17" s="31"/>
      <c r="AC17" s="29"/>
      <c r="AD17" s="27"/>
      <c r="AE17" s="28"/>
      <c r="AF17" s="122">
        <f>H17+J17+L17+N17</f>
        <v>1.1905000000000001E-2</v>
      </c>
    </row>
    <row r="18" spans="1:32" s="22" customFormat="1" ht="15.75" x14ac:dyDescent="0.25">
      <c r="A18" s="132" t="s">
        <v>42</v>
      </c>
      <c r="B18" s="12">
        <v>12</v>
      </c>
      <c r="C18" s="25">
        <f>32.12*B18</f>
        <v>385.43999999999994</v>
      </c>
      <c r="D18" s="12"/>
      <c r="E18" s="25"/>
      <c r="F18" s="12"/>
      <c r="G18" s="25"/>
      <c r="H18" s="64">
        <f t="shared" si="8"/>
        <v>6.7300000000000007E-3</v>
      </c>
      <c r="I18" s="17">
        <f t="shared" ref="I18" si="16">B18*H18</f>
        <v>8.0760000000000012E-2</v>
      </c>
      <c r="J18" s="64">
        <f t="shared" si="9"/>
        <v>3.0400000000000002E-3</v>
      </c>
      <c r="K18" s="17">
        <f t="shared" ref="K18" si="17">J18*B18</f>
        <v>3.6479999999999999E-2</v>
      </c>
      <c r="L18" s="64">
        <f>3.04/1000</f>
        <v>3.0400000000000002E-3</v>
      </c>
      <c r="M18" s="95">
        <f t="shared" ref="M18" si="18">L18*B18</f>
        <v>3.6479999999999999E-2</v>
      </c>
      <c r="N18" s="64"/>
      <c r="O18" s="17"/>
      <c r="P18" s="67"/>
      <c r="Q18" s="17"/>
      <c r="R18" s="64"/>
      <c r="S18" s="40"/>
      <c r="T18" s="38"/>
      <c r="U18" s="40"/>
      <c r="V18" s="30"/>
      <c r="W18" s="28"/>
      <c r="X18" s="71"/>
      <c r="Y18" s="77"/>
      <c r="Z18" s="77"/>
      <c r="AA18" s="77"/>
      <c r="AB18" s="77"/>
      <c r="AC18" s="29"/>
      <c r="AD18" s="27"/>
      <c r="AE18" s="28"/>
      <c r="AF18" s="122"/>
    </row>
    <row r="19" spans="1:32" s="22" customFormat="1" ht="16.5" thickBot="1" x14ac:dyDescent="0.3">
      <c r="A19" s="132" t="s">
        <v>43</v>
      </c>
      <c r="B19" s="92">
        <v>18</v>
      </c>
      <c r="C19" s="93">
        <f>1.18*B19</f>
        <v>21.24</v>
      </c>
      <c r="D19" s="92"/>
      <c r="E19" s="93"/>
      <c r="F19" s="92">
        <f>14.58/1000</f>
        <v>1.4579999999999999E-2</v>
      </c>
      <c r="G19" s="93">
        <f>F19*B19</f>
        <v>0.26244000000000001</v>
      </c>
      <c r="H19" s="134"/>
      <c r="I19" s="98"/>
      <c r="J19" s="134"/>
      <c r="K19" s="98"/>
      <c r="L19" s="134"/>
      <c r="M19" s="101"/>
      <c r="N19" s="134"/>
      <c r="O19" s="98"/>
      <c r="P19" s="135"/>
      <c r="Q19" s="98"/>
      <c r="R19" s="99"/>
      <c r="S19" s="103"/>
      <c r="T19" s="102">
        <f>1.53/1000</f>
        <v>1.5300000000000001E-3</v>
      </c>
      <c r="U19" s="103">
        <f>T19*B19</f>
        <v>2.7540000000000002E-2</v>
      </c>
      <c r="V19" s="99">
        <f t="shared" ref="V19" si="19">2.26/1000</f>
        <v>2.2599999999999999E-3</v>
      </c>
      <c r="W19" s="100">
        <f>V19*B19</f>
        <v>4.0679999999999994E-2</v>
      </c>
      <c r="X19" s="139"/>
      <c r="Y19" s="138"/>
      <c r="Z19" s="138"/>
      <c r="AA19" s="138"/>
      <c r="AB19" s="138"/>
      <c r="AC19" s="140"/>
      <c r="AD19" s="102"/>
      <c r="AE19" s="103"/>
      <c r="AF19" s="122"/>
    </row>
    <row r="20" spans="1:32" ht="16.5" thickBot="1" x14ac:dyDescent="0.3">
      <c r="A20" s="11" t="s">
        <v>4</v>
      </c>
      <c r="B20" s="123">
        <f>SUM(B7:B14)</f>
        <v>74</v>
      </c>
      <c r="C20" s="124">
        <f>SUM(C7:C14)</f>
        <v>1869.45</v>
      </c>
      <c r="D20" s="36"/>
      <c r="E20" s="125">
        <f>SUM(E13:E19)</f>
        <v>0.25404000000000004</v>
      </c>
      <c r="F20" s="36"/>
      <c r="G20" s="126">
        <f>SUM(G12:G19)</f>
        <v>1.9587600000000001</v>
      </c>
      <c r="H20" s="36"/>
      <c r="I20" s="72">
        <f>SUM(I7:I19)</f>
        <v>1.4402200000000001</v>
      </c>
      <c r="J20" s="32"/>
      <c r="K20" s="73">
        <f>SUM(K7:K14)</f>
        <v>7.9040000000000013E-2</v>
      </c>
      <c r="L20" s="32"/>
      <c r="M20" s="73">
        <f>SUM(M7:M14)</f>
        <v>3.1369999999999995E-2</v>
      </c>
      <c r="N20" s="32"/>
      <c r="O20" s="73">
        <f>SUM(O7:O14)</f>
        <v>2.7559999999999998E-2</v>
      </c>
      <c r="P20" s="32"/>
      <c r="Q20" s="32">
        <f>SUM(Q12:Q14)</f>
        <v>4.5599999999999998E-3</v>
      </c>
      <c r="R20" s="32"/>
      <c r="S20" s="73">
        <f>SUM(S8:S14)</f>
        <v>3.6659999999999998E-2</v>
      </c>
      <c r="T20" s="32"/>
      <c r="U20" s="72">
        <f>SUM(U14)</f>
        <v>3.96E-3</v>
      </c>
      <c r="V20" s="32"/>
      <c r="W20" s="73">
        <f>SUM(W7:W14)</f>
        <v>9.1920000000000002E-2</v>
      </c>
      <c r="X20" s="32"/>
      <c r="Y20" s="68">
        <f>SUM(Y7:Y14)</f>
        <v>1.7279999999999997E-2</v>
      </c>
      <c r="Z20" s="68"/>
      <c r="AA20" s="72">
        <f>SUM(AA7:AA14)</f>
        <v>2.64E-3</v>
      </c>
      <c r="AB20" s="68"/>
      <c r="AC20" s="72">
        <f>SUM(AC7:AC14)</f>
        <v>7.1999999999999994E-4</v>
      </c>
      <c r="AD20" s="106"/>
      <c r="AE20" s="72">
        <f>SUM(AE7:AE14)</f>
        <v>1.7279999999999997E-2</v>
      </c>
      <c r="AF20" s="109"/>
    </row>
    <row r="21" spans="1:32" s="10" customFormat="1" ht="16.5" thickBot="1" x14ac:dyDescent="0.3">
      <c r="A21" s="33" t="s">
        <v>6</v>
      </c>
      <c r="B21" s="37"/>
      <c r="C21" s="48">
        <f>C20</f>
        <v>1869.45</v>
      </c>
      <c r="D21" s="65"/>
      <c r="E21" s="118"/>
      <c r="F21" s="49" t="s">
        <v>12</v>
      </c>
      <c r="G21" s="119"/>
      <c r="H21" s="10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5"/>
      <c r="Y21" s="34"/>
      <c r="Z21" s="34"/>
      <c r="AA21" s="34"/>
      <c r="AB21" s="34"/>
      <c r="AC21" s="34"/>
      <c r="AD21" s="37"/>
      <c r="AE21" s="133" t="s">
        <v>36</v>
      </c>
      <c r="AF21" s="110">
        <f>SUM(D20:AE20)</f>
        <v>3.9660099999999998</v>
      </c>
    </row>
    <row r="22" spans="1:32" s="10" customFormat="1" ht="20.100000000000001" customHeight="1" x14ac:dyDescent="0.25">
      <c r="A22" s="111"/>
      <c r="B22" s="111"/>
      <c r="C22" s="112"/>
      <c r="D22" s="112"/>
      <c r="E22" s="112"/>
      <c r="F22" s="113"/>
      <c r="G22" s="112"/>
      <c r="H22" s="114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5"/>
      <c r="Y22" s="111"/>
      <c r="Z22" s="111"/>
      <c r="AA22" s="111"/>
      <c r="AB22" s="111"/>
      <c r="AC22" s="111"/>
      <c r="AD22" s="111"/>
      <c r="AE22" s="116"/>
      <c r="AF22" s="117"/>
    </row>
    <row r="23" spans="1:32" s="14" customFormat="1" x14ac:dyDescent="0.25">
      <c r="A23" s="4"/>
      <c r="B23" s="4"/>
      <c r="C23" s="44"/>
      <c r="D23" s="44"/>
      <c r="E23" s="44"/>
      <c r="F23" s="44"/>
      <c r="G23" s="4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s="14" customFormat="1" ht="56.25" customHeight="1" x14ac:dyDescent="0.25">
      <c r="A24" s="54" t="s">
        <v>8</v>
      </c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21"/>
      <c r="AA24" s="21"/>
      <c r="AB24" s="21"/>
      <c r="AC24" s="21"/>
      <c r="AD24" s="21"/>
      <c r="AE24" s="21"/>
      <c r="AF24" s="7"/>
    </row>
    <row r="25" spans="1:32" s="6" customFormat="1" x14ac:dyDescent="0.25">
      <c r="A25" s="8"/>
      <c r="B25" s="8"/>
      <c r="C25" s="45"/>
      <c r="D25" s="45"/>
      <c r="E25" s="45"/>
      <c r="F25" s="45"/>
      <c r="G25" s="45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spans="1:32" x14ac:dyDescent="0.25">
      <c r="A26" s="3"/>
      <c r="B26" s="3"/>
      <c r="C26" s="46"/>
      <c r="D26" s="46"/>
      <c r="E26" s="46"/>
      <c r="F26" s="46"/>
      <c r="G26" s="4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</sheetData>
  <mergeCells count="50">
    <mergeCell ref="D4:E4"/>
    <mergeCell ref="D5:D6"/>
    <mergeCell ref="E5:E6"/>
    <mergeCell ref="D3:AE3"/>
    <mergeCell ref="T5:T6"/>
    <mergeCell ref="U5:U6"/>
    <mergeCell ref="F4:G4"/>
    <mergeCell ref="F5:F6"/>
    <mergeCell ref="G5:G6"/>
    <mergeCell ref="P4:Q4"/>
    <mergeCell ref="P5:P6"/>
    <mergeCell ref="Q5:Q6"/>
    <mergeCell ref="T4:U4"/>
    <mergeCell ref="B3:C4"/>
    <mergeCell ref="A2:Y2"/>
    <mergeCell ref="H4:I4"/>
    <mergeCell ref="J4:K4"/>
    <mergeCell ref="L4:M4"/>
    <mergeCell ref="N4:O4"/>
    <mergeCell ref="A3:A4"/>
    <mergeCell ref="R4:S4"/>
    <mergeCell ref="V4:W4"/>
    <mergeCell ref="X4:Y4"/>
    <mergeCell ref="A5:A6"/>
    <mergeCell ref="H5:H6"/>
    <mergeCell ref="I5:I6"/>
    <mergeCell ref="J5:J6"/>
    <mergeCell ref="K5:K6"/>
    <mergeCell ref="AF3:AF6"/>
    <mergeCell ref="A24:Y24"/>
    <mergeCell ref="B5:C5"/>
    <mergeCell ref="Z4:AA4"/>
    <mergeCell ref="Z5:Z6"/>
    <mergeCell ref="AA5:AA6"/>
    <mergeCell ref="R5:R6"/>
    <mergeCell ref="S5:S6"/>
    <mergeCell ref="V5:V6"/>
    <mergeCell ref="W5:W6"/>
    <mergeCell ref="L5:L6"/>
    <mergeCell ref="M5:M6"/>
    <mergeCell ref="N5:N6"/>
    <mergeCell ref="O5:O6"/>
    <mergeCell ref="AB4:AC4"/>
    <mergeCell ref="AB5:AB6"/>
    <mergeCell ref="AC5:AC6"/>
    <mergeCell ref="AD4:AE4"/>
    <mergeCell ref="AD5:AD6"/>
    <mergeCell ref="AE5:AE6"/>
    <mergeCell ref="X5:X6"/>
    <mergeCell ref="Y5:Y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Огражденя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2026-07-10T07:38:21Z</dcterms:modified>
</cp:coreProperties>
</file>